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G:\Share_rw\Nursing in the OPC\Calculations\Calculation Tool\"/>
    </mc:Choice>
  </mc:AlternateContent>
  <xr:revisionPtr revIDLastSave="0" documentId="13_ncr:1_{294C25C1-4DCA-424B-B8ED-D4ACC75EFA47}" xr6:coauthVersionLast="47" xr6:coauthVersionMax="47" xr10:uidLastSave="{00000000-0000-0000-0000-000000000000}"/>
  <workbookProtection workbookAlgorithmName="SHA-512" workbookHashValue="onmDHrJ0P6nOb2hZTPJPvh+VWwT+1avP+1X7nsjMPxt+0axkFNEviEbelqLp3fKjW7zmcagu1dAu4IhosXj9Iw==" workbookSaltValue="oMFdoGOuvfZsk6lWFUmx8g==" workbookSpinCount="100000" lockStructure="1"/>
  <bookViews>
    <workbookView xWindow="3840" yWindow="3840" windowWidth="23040" windowHeight="12120" tabRatio="816" firstSheet="36" activeTab="36" xr2:uid="{00000000-000D-0000-FFFF-FFFF00000000}"/>
  </bookViews>
  <sheets>
    <sheet name="Index" sheetId="56" r:id="rId1"/>
    <sheet name="APAP" sheetId="18" r:id="rId2"/>
    <sheet name="ASA " sheetId="16" r:id="rId3"/>
    <sheet name="Salicylate Equivalents" sheetId="63" r:id="rId4"/>
    <sheet name="Bismuth Subsalicylate" sheetId="32" r:id="rId5"/>
    <sheet name="Benzocaine" sheetId="69" r:id="rId6"/>
    <sheet name="Borax" sheetId="49" r:id="rId7"/>
    <sheet name="Camphor " sheetId="15" r:id="rId8"/>
    <sheet name="DEET" sheetId="48" r:id="rId9"/>
    <sheet name="Diphenhydramine" sheetId="45" r:id="rId10"/>
    <sheet name="Ethylene Glycol &amp; Methanol" sheetId="27" r:id="rId11"/>
    <sheet name="EtOH" sheetId="60" r:id="rId12"/>
    <sheet name="Fluoride" sheetId="24" r:id="rId13"/>
    <sheet name="Imidazoline" sheetId="44" r:id="rId14"/>
    <sheet name="IPA" sheetId="61" r:id="rId15"/>
    <sheet name="Iron" sheetId="23" r:id="rId16"/>
    <sheet name="Lidocaine" sheetId="40" r:id="rId17"/>
    <sheet name="NSAIDs" sheetId="54" r:id="rId18"/>
    <sheet name="Potassium" sheetId="26" state="hidden" r:id="rId19"/>
    <sheet name="Menthol" sheetId="68" r:id="rId20"/>
    <sheet name="Sodium Chloride" sheetId="43" r:id="rId21"/>
    <sheet name="Tea Tree Oil" sheetId="70" r:id="rId22"/>
    <sheet name="Vitamin A" sheetId="72" r:id="rId23"/>
    <sheet name="Retinol - Vitamin A Equiv" sheetId="76" r:id="rId24"/>
    <sheet name=" Vitamin D " sheetId="73" r:id="rId25"/>
    <sheet name="% Calculations (ww or wv)" sheetId="55" r:id="rId26"/>
    <sheet name=" % Calculations (vv)" sheetId="47" r:id="rId27"/>
    <sheet name="Uncategorized Calculations" sheetId="62" r:id="rId28"/>
    <sheet name=" DigiFab Dosing" sheetId="25" r:id="rId29"/>
    <sheet name="Fomepizole &amp; Cofactors" sheetId="50" r:id="rId30"/>
    <sheet name="HIE" sheetId="52" r:id="rId31"/>
    <sheet name="Lipid Dosing" sheetId="75" r:id="rId32"/>
    <sheet name="NEW NAC 2026 Dosing" sheetId="58" r:id="rId33"/>
    <sheet name="NEW OPC APAP Nonogram" sheetId="78" r:id="rId34"/>
    <sheet name="NAC Comparison Calculator" sheetId="79" r:id="rId35"/>
    <sheet name="Blood Gas Analysis and Gaps" sheetId="5" r:id="rId36"/>
    <sheet name="Lab Conversions" sheetId="74" r:id="rId37"/>
    <sheet name="Unit Conversions" sheetId="51" r:id="rId38"/>
    <sheet name="Version" sheetId="57" r:id="rId39"/>
    <sheet name="Do Not Use" sheetId="10" r:id="rId40"/>
  </sheets>
  <definedNames>
    <definedName name="IU">'Vitamin A'!$E$7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79" l="1"/>
  <c r="K13" i="73"/>
  <c r="I11" i="45" l="1"/>
  <c r="D11" i="45"/>
  <c r="I14" i="76"/>
  <c r="I15" i="76" s="1"/>
  <c r="I12" i="76"/>
  <c r="D18" i="23"/>
  <c r="D16" i="23"/>
  <c r="D17" i="23" s="1"/>
  <c r="D15" i="23"/>
  <c r="I16" i="76" l="1"/>
  <c r="I72" i="79"/>
  <c r="I56" i="79"/>
  <c r="T47" i="79"/>
  <c r="I47" i="79"/>
  <c r="T36" i="79"/>
  <c r="I33" i="79"/>
  <c r="I36" i="79" s="1"/>
  <c r="T18" i="79"/>
  <c r="T15" i="79"/>
  <c r="T16" i="79" s="1"/>
  <c r="T11" i="79"/>
  <c r="T19" i="79" l="1"/>
  <c r="T20" i="79" s="1"/>
  <c r="I63" i="79"/>
  <c r="I64" i="79" s="1"/>
  <c r="I65" i="79" s="1"/>
  <c r="I59" i="79"/>
  <c r="I60" i="79"/>
  <c r="I68" i="79"/>
  <c r="I69" i="79" s="1"/>
  <c r="I70" i="79" s="1"/>
  <c r="I37" i="79"/>
  <c r="T37" i="79"/>
  <c r="T12" i="79"/>
  <c r="I40" i="79"/>
  <c r="I41" i="79" s="1"/>
  <c r="I44" i="79"/>
  <c r="I45" i="79" s="1"/>
  <c r="T40" i="79"/>
  <c r="T41" i="79" s="1"/>
  <c r="T44" i="79"/>
  <c r="T45" i="79" s="1"/>
  <c r="I73" i="79" l="1"/>
  <c r="I74" i="79" s="1"/>
  <c r="T48" i="79"/>
  <c r="T49" i="79" s="1"/>
  <c r="I48" i="79"/>
  <c r="I49" i="79" s="1"/>
  <c r="D17" i="58"/>
  <c r="D16" i="58"/>
  <c r="D13" i="58"/>
  <c r="D12" i="58"/>
  <c r="P8" i="51"/>
  <c r="P7" i="51"/>
  <c r="P6" i="51"/>
  <c r="F23" i="78" l="1"/>
  <c r="V11" i="78"/>
  <c r="W11" i="78"/>
  <c r="W24" i="78"/>
  <c r="V24" i="78"/>
  <c r="W23" i="78"/>
  <c r="V23" i="78"/>
  <c r="W22" i="78"/>
  <c r="V22" i="78"/>
  <c r="W21" i="78"/>
  <c r="V21" i="78"/>
  <c r="W20" i="78"/>
  <c r="V20" i="78"/>
  <c r="W19" i="78"/>
  <c r="V19" i="78"/>
  <c r="W18" i="78"/>
  <c r="V18" i="78"/>
  <c r="W17" i="78"/>
  <c r="V17" i="78"/>
  <c r="W16" i="78"/>
  <c r="V16" i="78"/>
  <c r="W15" i="78"/>
  <c r="V15" i="78"/>
  <c r="W14" i="78"/>
  <c r="V14" i="78"/>
  <c r="W13" i="78"/>
  <c r="V13" i="78"/>
  <c r="W12" i="78"/>
  <c r="V12" i="78"/>
  <c r="C14" i="78"/>
  <c r="W10" i="78"/>
  <c r="V10" i="78"/>
  <c r="W9" i="78"/>
  <c r="V9" i="78"/>
  <c r="W8" i="78"/>
  <c r="V8" i="78"/>
  <c r="W7" i="78"/>
  <c r="V7" i="78"/>
  <c r="W6" i="78"/>
  <c r="V6" i="78"/>
  <c r="F21" i="74"/>
  <c r="M7" i="74"/>
  <c r="M14" i="74"/>
  <c r="D14" i="76"/>
  <c r="D15" i="76" s="1"/>
  <c r="D12" i="76"/>
  <c r="F21" i="72"/>
  <c r="F23" i="72"/>
  <c r="E29" i="75"/>
  <c r="E12" i="75"/>
  <c r="E26" i="75"/>
  <c r="E17" i="75"/>
  <c r="E9" i="75"/>
  <c r="M21" i="74"/>
  <c r="D16" i="76" l="1"/>
  <c r="I8" i="50"/>
  <c r="J8" i="50"/>
  <c r="D9" i="50"/>
  <c r="L13" i="51"/>
  <c r="L8" i="51"/>
  <c r="D20" i="63" l="1"/>
  <c r="F29" i="74" l="1"/>
  <c r="F14" i="74"/>
  <c r="F7" i="74"/>
  <c r="D20" i="73" l="1"/>
  <c r="D24" i="73" s="1"/>
  <c r="D23" i="73"/>
  <c r="D10" i="73" l="1"/>
  <c r="D9" i="73"/>
  <c r="L6" i="73"/>
  <c r="O12" i="72"/>
  <c r="E13" i="72"/>
  <c r="N8" i="72"/>
  <c r="N13" i="72" s="1"/>
  <c r="E9" i="72"/>
  <c r="D9" i="72"/>
  <c r="D14" i="72" l="1"/>
  <c r="N12" i="72"/>
  <c r="D13" i="72"/>
  <c r="D11" i="54" l="1"/>
  <c r="D11" i="16" l="1"/>
  <c r="I14" i="5" l="1"/>
  <c r="I13" i="5"/>
  <c r="I15" i="5" s="1"/>
  <c r="I16" i="5" s="1"/>
  <c r="D9" i="5"/>
  <c r="D12" i="70" l="1"/>
  <c r="D13" i="70" s="1"/>
  <c r="D14" i="70" s="1"/>
  <c r="D11" i="70"/>
  <c r="L11" i="54"/>
  <c r="D15" i="70" l="1"/>
  <c r="D12" i="69"/>
  <c r="D11" i="69"/>
  <c r="D13" i="69" l="1"/>
  <c r="D14" i="69" s="1"/>
  <c r="D15" i="69"/>
  <c r="D13" i="68"/>
  <c r="D14" i="68" s="1"/>
  <c r="D15" i="68" s="1"/>
  <c r="D12" i="68"/>
  <c r="D16" i="68" l="1"/>
  <c r="F6" i="51"/>
  <c r="F10" i="51" l="1"/>
  <c r="E25" i="52" l="1"/>
  <c r="D14" i="24" l="1"/>
  <c r="N12" i="49" l="1"/>
  <c r="N13" i="49" s="1"/>
  <c r="N14" i="49" s="1"/>
  <c r="N11" i="49"/>
  <c r="N15" i="49" l="1"/>
  <c r="D12" i="25" l="1"/>
  <c r="D12" i="54" l="1"/>
  <c r="D17" i="24" l="1"/>
  <c r="D18" i="24" s="1"/>
  <c r="D16" i="24"/>
  <c r="D15" i="24"/>
  <c r="L17" i="23" l="1"/>
  <c r="L15" i="23"/>
  <c r="L16" i="23" s="1"/>
  <c r="L14" i="23"/>
  <c r="I12" i="32" l="1"/>
  <c r="I13" i="32" s="1"/>
  <c r="I11" i="32"/>
  <c r="I14" i="32" s="1"/>
  <c r="D12" i="32"/>
  <c r="D13" i="32" s="1"/>
  <c r="D11" i="32"/>
  <c r="D14" i="32" s="1"/>
  <c r="I12" i="25" l="1"/>
  <c r="I11" i="62" l="1"/>
  <c r="I14" i="62" s="1"/>
  <c r="I12" i="62"/>
  <c r="I13" i="62" s="1"/>
  <c r="D12" i="62"/>
  <c r="D13" i="62" s="1"/>
  <c r="D11" i="62"/>
  <c r="D14" i="62" s="1"/>
  <c r="D12" i="43"/>
  <c r="D13" i="43" s="1"/>
  <c r="D11" i="43"/>
  <c r="D14" i="43" s="1"/>
  <c r="D12" i="26"/>
  <c r="D13" i="26" s="1"/>
  <c r="D11" i="26"/>
  <c r="D14" i="26" s="1"/>
  <c r="D13" i="61"/>
  <c r="D14" i="61" s="1"/>
  <c r="D15" i="61" s="1"/>
  <c r="D12" i="61"/>
  <c r="D12" i="60"/>
  <c r="D13" i="60" s="1"/>
  <c r="D14" i="60" s="1"/>
  <c r="D11" i="60"/>
  <c r="L13" i="54"/>
  <c r="L14" i="54" s="1"/>
  <c r="L12" i="54"/>
  <c r="L15" i="54" s="1"/>
  <c r="D13" i="54"/>
  <c r="D14" i="54" s="1"/>
  <c r="D15" i="54"/>
  <c r="D13" i="40"/>
  <c r="D14" i="40" s="1"/>
  <c r="D15" i="40" s="1"/>
  <c r="D12" i="40"/>
  <c r="D12" i="44"/>
  <c r="D13" i="44" s="1"/>
  <c r="D14" i="44" s="1"/>
  <c r="D11" i="44"/>
  <c r="D12" i="48"/>
  <c r="D13" i="48" s="1"/>
  <c r="D14" i="48" s="1"/>
  <c r="D11" i="48"/>
  <c r="D12" i="49"/>
  <c r="D13" i="49" s="1"/>
  <c r="D14" i="49" s="1"/>
  <c r="D11" i="49"/>
  <c r="D12" i="16"/>
  <c r="D14" i="16" s="1"/>
  <c r="D13" i="16" l="1"/>
  <c r="D15" i="60"/>
  <c r="D15" i="49"/>
  <c r="D16" i="61"/>
  <c r="D16" i="40"/>
  <c r="D15" i="44"/>
  <c r="D15" i="48"/>
  <c r="D12" i="15"/>
  <c r="D13" i="15" s="1"/>
  <c r="D14" i="15" s="1"/>
  <c r="D11" i="15"/>
  <c r="I12" i="45"/>
  <c r="I13" i="45" s="1"/>
  <c r="I14" i="45"/>
  <c r="D12" i="45"/>
  <c r="D13" i="45" s="1"/>
  <c r="D14" i="45"/>
  <c r="D12" i="47"/>
  <c r="D13" i="47" s="1"/>
  <c r="D14" i="47" s="1"/>
  <c r="D12" i="55"/>
  <c r="D13" i="55" s="1"/>
  <c r="D14" i="55" s="1"/>
  <c r="D11" i="47"/>
  <c r="D11" i="55"/>
  <c r="D15" i="55" l="1"/>
  <c r="D15" i="15"/>
  <c r="D15" i="47"/>
  <c r="K12" i="18"/>
  <c r="K13" i="18" s="1"/>
  <c r="K11" i="18"/>
  <c r="K14" i="18" s="1"/>
  <c r="D12" i="18"/>
  <c r="D13" i="18" s="1"/>
  <c r="D11" i="18"/>
  <c r="D14" i="18" s="1"/>
  <c r="D24" i="52" l="1"/>
  <c r="E14" i="52"/>
  <c r="E13" i="52"/>
  <c r="E12" i="52"/>
  <c r="D20" i="50" l="1"/>
  <c r="D16" i="50"/>
  <c r="D12" i="50"/>
  <c r="D9" i="27" l="1"/>
  <c r="D19" i="63"/>
  <c r="D22" i="63" s="1"/>
  <c r="D21" i="63"/>
</calcChain>
</file>

<file path=xl/sharedStrings.xml><?xml version="1.0" encoding="utf-8"?>
<sst xmlns="http://schemas.openxmlformats.org/spreadsheetml/2006/main" count="883" uniqueCount="507">
  <si>
    <t>*Single Acute Acetaminophen Tablet Calculations</t>
  </si>
  <si>
    <t>*Single Acute Acetaminophen Liquid Calculations</t>
  </si>
  <si>
    <t>Patient Weight (kg)</t>
  </si>
  <si>
    <r>
      <t xml:space="preserve">NOTE: </t>
    </r>
    <r>
      <rPr>
        <sz val="10"/>
        <color rgb="FFFF0000"/>
        <rFont val="Calibri"/>
        <family val="2"/>
        <scheme val="minor"/>
      </rPr>
      <t>IF 650 mg tablets</t>
    </r>
    <r>
      <rPr>
        <sz val="10"/>
        <color theme="1"/>
        <rFont val="Calibri"/>
        <family val="2"/>
        <scheme val="minor"/>
      </rPr>
      <t xml:space="preserve">, these are SLOW release and require labs at 4, 8, 12 hours post-ingestion only </t>
    </r>
    <r>
      <rPr>
        <sz val="10"/>
        <color rgb="FFFF0000"/>
        <rFont val="Calibri"/>
        <family val="2"/>
        <scheme val="minor"/>
      </rPr>
      <t>IF</t>
    </r>
    <r>
      <rPr>
        <sz val="10"/>
        <color theme="1"/>
        <rFont val="Calibri"/>
        <family val="2"/>
        <scheme val="minor"/>
      </rPr>
      <t xml:space="preserve"> the 4 hour or 8 hour levels are not toxic but detecable</t>
    </r>
  </si>
  <si>
    <t>Tablet Formulation in (mg/tablet)</t>
  </si>
  <si>
    <t>Liquid Formulation (mg/ml)</t>
  </si>
  <si>
    <t>Number of Tablets Ingested (if known)</t>
  </si>
  <si>
    <t>mL Ingested (if known)</t>
  </si>
  <si>
    <t>Toxic Dose in (mg/kg)</t>
  </si>
  <si>
    <t>Toxic Dose (mg/kg)</t>
  </si>
  <si>
    <t>Calculated Toxic Dose (mg)</t>
  </si>
  <si>
    <t>Total mg Ingested by Pt</t>
  </si>
  <si>
    <t>mg/kg Ingested</t>
  </si>
  <si>
    <t># of Tablets Needed to be Toxic</t>
  </si>
  <si>
    <t># of mL Needed to be Toxic</t>
  </si>
  <si>
    <t>NOTE: Repeated Supratherapeutic Ingestion</t>
  </si>
  <si>
    <r>
      <t xml:space="preserve">• </t>
    </r>
    <r>
      <rPr>
        <b/>
        <sz val="11"/>
        <color theme="1"/>
        <rFont val="Calibri"/>
        <family val="2"/>
        <scheme val="minor"/>
      </rPr>
      <t xml:space="preserve">Ingestion period &gt;24–48 hours: </t>
    </r>
    <r>
      <rPr>
        <sz val="11"/>
        <color theme="1"/>
        <rFont val="Calibri"/>
        <family val="2"/>
        <scheme val="minor"/>
      </rPr>
      <t xml:space="preserve">≥6 g/day or ≥150 mg/kg/day (whichever is less) 
• </t>
    </r>
    <r>
      <rPr>
        <b/>
        <sz val="11"/>
        <color theme="1"/>
        <rFont val="Calibri"/>
        <family val="2"/>
        <scheme val="minor"/>
      </rPr>
      <t xml:space="preserve">Ingestion period &gt;48 hours: </t>
    </r>
    <r>
      <rPr>
        <sz val="11"/>
        <color theme="1"/>
        <rFont val="Calibri"/>
        <family val="2"/>
        <scheme val="minor"/>
      </rPr>
      <t xml:space="preserve">
     o </t>
    </r>
    <r>
      <rPr>
        <b/>
        <sz val="11"/>
        <color theme="1"/>
        <rFont val="Calibri"/>
        <family val="2"/>
        <scheme val="minor"/>
      </rPr>
      <t>Children &lt;6 years</t>
    </r>
    <r>
      <rPr>
        <sz val="11"/>
        <color theme="1"/>
        <rFont val="Calibri"/>
        <family val="2"/>
        <scheme val="minor"/>
      </rPr>
      <t xml:space="preserve">: ≥4 g/day or ≥100 mg/kg/day (whichever is less) 
     o </t>
    </r>
    <r>
      <rPr>
        <b/>
        <sz val="11"/>
        <color theme="1"/>
        <rFont val="Calibri"/>
        <family val="2"/>
        <scheme val="minor"/>
      </rPr>
      <t>Adults with pre-existing hepatic disease, alcohol misuse, malnutrition, or use of enzyme-inducing drugs</t>
    </r>
    <r>
      <rPr>
        <sz val="11"/>
        <color theme="1"/>
        <rFont val="Calibri"/>
        <family val="2"/>
        <scheme val="minor"/>
      </rPr>
      <t xml:space="preserve"> (phenobarbital, primidone, phenytoin,        
        INH, rifampin, carbamazepine): ≥4 g/day or ≥100 mg/kg/day 
     o </t>
    </r>
    <r>
      <rPr>
        <b/>
        <sz val="11"/>
        <color theme="1"/>
        <rFont val="Calibri"/>
        <family val="2"/>
        <scheme val="minor"/>
      </rPr>
      <t xml:space="preserve">All other adults and children ≥6 years: </t>
    </r>
    <r>
      <rPr>
        <sz val="11"/>
        <color theme="1"/>
        <rFont val="Calibri"/>
        <family val="2"/>
        <scheme val="minor"/>
      </rPr>
      <t>≥ 6 g/day</t>
    </r>
  </si>
  <si>
    <t>ASA Tablet Calculations</t>
  </si>
  <si>
    <t>Tablet Formulation (mg)</t>
  </si>
  <si>
    <t>Calculated Toxic Dose (mg) (max 6500mg)</t>
  </si>
  <si>
    <t>Max: 6500 mg</t>
  </si>
  <si>
    <t>Max: 6500 mg Equivalent</t>
  </si>
  <si>
    <t>Salicylate Equivalent Calculations</t>
  </si>
  <si>
    <t>Using ACF values from Micromedex</t>
  </si>
  <si>
    <t xml:space="preserve">% of Product/100 x ACF x 1000mg = mg/mL of Product
Toxic Dose divided mg/mL of Product = mL to be Toxic.
</t>
  </si>
  <si>
    <t>Patient Weight in (kg)</t>
  </si>
  <si>
    <t>Amount Ingested (mL) (if known)</t>
  </si>
  <si>
    <t>% of Benzyl Salicylate</t>
  </si>
  <si>
    <t>Benzyl Salicylate ACF: 0.9246</t>
  </si>
  <si>
    <t>% of Homosalate</t>
  </si>
  <si>
    <t>Homosalate ACF: 0.7154</t>
  </si>
  <si>
    <t>% of Methyl Salicylate</t>
  </si>
  <si>
    <t>Methyl Salicylate ACF: 1.3978</t>
  </si>
  <si>
    <t>% of Octyl Salicylate</t>
  </si>
  <si>
    <t>Octyl Salicylate ACF: 0.7303</t>
  </si>
  <si>
    <t>% of Salicylic Acid</t>
  </si>
  <si>
    <t>Salicylic Acid ACF: 1.3043</t>
  </si>
  <si>
    <t xml:space="preserve">   Other %</t>
  </si>
  <si>
    <t>User must input % of substance in this cell as well as corresponding ACF in "Other ACF" cell D16 if using "other" section</t>
  </si>
  <si>
    <t xml:space="preserve">   Other ACF</t>
  </si>
  <si>
    <t>User must input ACF in this cell as well as corresponding % in "Other %" cell D15 if using other section</t>
  </si>
  <si>
    <t>Calculated Toxic dose (mg)</t>
  </si>
  <si>
    <t>Total mg ASA Ingested by Pt</t>
  </si>
  <si>
    <t>mg/kg ASA Ingested</t>
  </si>
  <si>
    <t>Reference:</t>
  </si>
  <si>
    <t>https://www.micromedexsolutions.com/micromedex2/librarian/</t>
  </si>
  <si>
    <t>Go to Salicylates-&gt; Calculations</t>
  </si>
  <si>
    <t>Bismuth Subsalicylate Tablets - ACF = 0.4975</t>
  </si>
  <si>
    <t>Bismuth Subsalicylate Liquid - ACF = 0.4975</t>
  </si>
  <si>
    <t>Liquid Formulation (mg/mL)</t>
  </si>
  <si>
    <t>Typical Forumulations: 
= 262 mg/15 mL = 17.5 mg/mL
= 525 mg/15 mL = 35 mg/mL</t>
  </si>
  <si>
    <t>Number of mL Ingested (if known)</t>
  </si>
  <si>
    <t>Benzocaine Calculations</t>
  </si>
  <si>
    <r>
      <t xml:space="preserve">% of </t>
    </r>
    <r>
      <rPr>
        <b/>
        <sz val="11"/>
        <color theme="9"/>
        <rFont val="Calibri"/>
        <family val="2"/>
        <scheme val="minor"/>
      </rPr>
      <t>Substance</t>
    </r>
    <r>
      <rPr>
        <sz val="11"/>
        <color theme="1"/>
        <rFont val="Calibri"/>
        <family val="2"/>
        <scheme val="minor"/>
      </rPr>
      <t xml:space="preserve"> in Product</t>
    </r>
  </si>
  <si>
    <r>
      <t xml:space="preserve">mL of </t>
    </r>
    <r>
      <rPr>
        <b/>
        <sz val="11"/>
        <color rgb="FFFF0000"/>
        <rFont val="Calibri"/>
        <family val="2"/>
        <scheme val="minor"/>
      </rPr>
      <t>Product</t>
    </r>
    <r>
      <rPr>
        <sz val="11"/>
        <color theme="1"/>
        <rFont val="Calibri"/>
        <family val="2"/>
        <scheme val="minor"/>
      </rPr>
      <t xml:space="preserve"> Ingested (if known)</t>
    </r>
  </si>
  <si>
    <t>NOTE: Margaret is reviewing this amount. MDX  = 20-40 mg and Toxinz is 100 mg. For now use 20 mg/kg or if symptomatic  - refer to ED</t>
  </si>
  <si>
    <r>
      <t xml:space="preserve">mg of </t>
    </r>
    <r>
      <rPr>
        <b/>
        <sz val="11"/>
        <color theme="9"/>
        <rFont val="Calibri"/>
        <family val="2"/>
        <scheme val="minor"/>
      </rPr>
      <t>Substance</t>
    </r>
    <r>
      <rPr>
        <sz val="11"/>
        <color theme="1"/>
        <rFont val="Calibri"/>
        <family val="2"/>
        <scheme val="minor"/>
      </rPr>
      <t>/mL of Product</t>
    </r>
  </si>
  <si>
    <t xml:space="preserve">Note: % conversion to mg/mL = %/100 x 1000 mg </t>
  </si>
  <si>
    <r>
      <t xml:space="preserve">Total mg of </t>
    </r>
    <r>
      <rPr>
        <b/>
        <sz val="11"/>
        <color theme="9"/>
        <rFont val="Calibri"/>
        <family val="2"/>
        <scheme val="minor"/>
      </rPr>
      <t>Substance</t>
    </r>
    <r>
      <rPr>
        <sz val="11"/>
        <color theme="1"/>
        <rFont val="Calibri"/>
        <family val="2"/>
        <scheme val="minor"/>
      </rPr>
      <t xml:space="preserve"> Ingested</t>
    </r>
  </si>
  <si>
    <r>
      <t>mg/kg of</t>
    </r>
    <r>
      <rPr>
        <b/>
        <sz val="11"/>
        <color theme="9"/>
        <rFont val="Calibri"/>
        <family val="2"/>
        <scheme val="minor"/>
      </rPr>
      <t xml:space="preserve"> Substance</t>
    </r>
    <r>
      <rPr>
        <sz val="11"/>
        <rFont val="Calibri"/>
        <family val="2"/>
        <scheme val="minor"/>
      </rPr>
      <t xml:space="preserve"> Ingested</t>
    </r>
  </si>
  <si>
    <r>
      <t xml:space="preserve"># of mL of </t>
    </r>
    <r>
      <rPr>
        <b/>
        <sz val="11"/>
        <color rgb="FFFF0000"/>
        <rFont val="Calibri"/>
        <family val="2"/>
        <scheme val="minor"/>
      </rPr>
      <t>Product</t>
    </r>
    <r>
      <rPr>
        <sz val="11"/>
        <color theme="1"/>
        <rFont val="Calibri"/>
        <family val="2"/>
        <scheme val="minor"/>
      </rPr>
      <t xml:space="preserve"> Needed to be Toxic</t>
    </r>
  </si>
  <si>
    <t>Borax  Calculations if Borax is Listed as g</t>
  </si>
  <si>
    <t>Borax  Calculations if Borax Listed as %</t>
  </si>
  <si>
    <t xml:space="preserve">Borax Formulation (g/tsp) (if known) </t>
  </si>
  <si>
    <t>Use 4.4 g if unknown</t>
  </si>
  <si>
    <t>mL ingested (if known)</t>
  </si>
  <si>
    <t>Toxic Dose per Toxinz 75 mg/kg approved by Dr. Thompson.</t>
  </si>
  <si>
    <t>mg/mL of Borax</t>
  </si>
  <si>
    <t>Note: % conversion to mg/mL = %/100 x 1000 mg</t>
  </si>
  <si>
    <r>
      <t xml:space="preserve">mg of </t>
    </r>
    <r>
      <rPr>
        <b/>
        <sz val="11"/>
        <color theme="9"/>
        <rFont val="Calibri"/>
        <family val="2"/>
        <scheme val="minor"/>
      </rPr>
      <t>Substance</t>
    </r>
    <r>
      <rPr>
        <sz val="11"/>
        <color theme="1"/>
        <rFont val="Calibri"/>
        <family val="2"/>
        <scheme val="minor"/>
      </rPr>
      <t xml:space="preserve"> Ingested</t>
    </r>
  </si>
  <si>
    <t>Reference Per Micromedex: Toxic Dose is not well established; 2-3 g in infants, 5-6 g in Children and 15-20 g in adults</t>
  </si>
  <si>
    <t>Bulk Density g/mL</t>
  </si>
  <si>
    <t>AMT/TSP</t>
  </si>
  <si>
    <t>Crystal</t>
  </si>
  <si>
    <t>3.9 g</t>
  </si>
  <si>
    <t>Powder</t>
  </si>
  <si>
    <t>2.9 g</t>
  </si>
  <si>
    <t>Granules</t>
  </si>
  <si>
    <t>4.4 g</t>
  </si>
  <si>
    <t>Camphor Calculations</t>
  </si>
  <si>
    <t>DEET Calculations</t>
  </si>
  <si>
    <t>Toxic Dose mg/kg</t>
  </si>
  <si>
    <t>Calculated Toxic Dose in mg</t>
  </si>
  <si>
    <r>
      <t xml:space="preserve">mL of </t>
    </r>
    <r>
      <rPr>
        <b/>
        <sz val="11"/>
        <color rgb="FFFF0000"/>
        <rFont val="Calibri"/>
        <family val="2"/>
        <scheme val="minor"/>
      </rPr>
      <t>Product</t>
    </r>
    <r>
      <rPr>
        <sz val="11"/>
        <color theme="1"/>
        <rFont val="Calibri"/>
        <family val="2"/>
        <scheme val="minor"/>
      </rPr>
      <t xml:space="preserve"> Needed to be Toxic</t>
    </r>
  </si>
  <si>
    <t>Diphenhydramine Tablet Calculations</t>
  </si>
  <si>
    <t>Diphenhydramine Liquid Calculations</t>
  </si>
  <si>
    <t>Liquid Formulation (mg)</t>
  </si>
  <si>
    <t>Formulation: 
12.5 mg/5 mL = 2.5 mg/mL
6.25 mg/5 mL = 1.25 mg/mL</t>
  </si>
  <si>
    <t>Note: Diphenhydramine is toxic at 7.5 mg/kg or 300 mg total per Toxinz</t>
  </si>
  <si>
    <t>Ethylene Glycol &amp; Methanol Calculation</t>
  </si>
  <si>
    <t># mL = ( 15 x weight in kg ) / ( % EG or MeOH )</t>
  </si>
  <si>
    <t>Pt Weight in (kg)</t>
  </si>
  <si>
    <t>% of Product expressed as a number eg: 5% = 5</t>
  </si>
  <si>
    <t>EtOH</t>
  </si>
  <si>
    <r>
      <t xml:space="preserve">% of </t>
    </r>
    <r>
      <rPr>
        <b/>
        <sz val="11"/>
        <color theme="9"/>
        <rFont val="Calibri"/>
        <family val="2"/>
        <scheme val="minor"/>
      </rPr>
      <t>EtOH</t>
    </r>
    <r>
      <rPr>
        <sz val="11"/>
        <color theme="1"/>
        <rFont val="Calibri"/>
        <family val="2"/>
        <scheme val="minor"/>
      </rPr>
      <t xml:space="preserve"> in Product</t>
    </r>
  </si>
  <si>
    <t>Toxic Dose (mL/kg)</t>
  </si>
  <si>
    <t>Per Dr. Thompson: Toxic Dose 1mL/kg</t>
  </si>
  <si>
    <t>Calculated Toxic Dose (mL)</t>
  </si>
  <si>
    <r>
      <t># mL of</t>
    </r>
    <r>
      <rPr>
        <b/>
        <sz val="11"/>
        <color theme="9"/>
        <rFont val="Calibri"/>
        <family val="2"/>
        <scheme val="minor"/>
      </rPr>
      <t xml:space="preserve"> EtOH</t>
    </r>
    <r>
      <rPr>
        <sz val="11"/>
        <color theme="1"/>
        <rFont val="Calibri"/>
        <family val="2"/>
        <scheme val="minor"/>
      </rPr>
      <t>/mL of Product</t>
    </r>
  </si>
  <si>
    <t>Note: % conversion to mL of ETOH/mL = %/100</t>
  </si>
  <si>
    <r>
      <t xml:space="preserve">mL of </t>
    </r>
    <r>
      <rPr>
        <b/>
        <sz val="11"/>
        <color theme="9"/>
        <rFont val="Calibri"/>
        <family val="2"/>
        <scheme val="minor"/>
      </rPr>
      <t>EtOH</t>
    </r>
    <r>
      <rPr>
        <sz val="11"/>
        <color theme="1"/>
        <rFont val="Calibri"/>
        <family val="2"/>
        <scheme val="minor"/>
      </rPr>
      <t xml:space="preserve"> Ingested</t>
    </r>
  </si>
  <si>
    <r>
      <t>mL/kg of</t>
    </r>
    <r>
      <rPr>
        <b/>
        <sz val="11"/>
        <color theme="9"/>
        <rFont val="Calibri"/>
        <family val="2"/>
        <scheme val="minor"/>
      </rPr>
      <t xml:space="preserve"> EtOH</t>
    </r>
    <r>
      <rPr>
        <sz val="11"/>
        <rFont val="Calibri"/>
        <family val="2"/>
        <scheme val="minor"/>
      </rPr>
      <t xml:space="preserve"> Ingested</t>
    </r>
  </si>
  <si>
    <t>Fluoride Equivalents Calculation</t>
  </si>
  <si>
    <t>Using CONSTANT values from Micromedex</t>
  </si>
  <si>
    <t>Amount Ingested (oz) (if known)</t>
  </si>
  <si>
    <t xml:space="preserve">% of Sodium Fluoride </t>
  </si>
  <si>
    <t>Na Fluoride Constant: 128</t>
  </si>
  <si>
    <t>% of Sodium Monofluorophosphate</t>
  </si>
  <si>
    <t>NaMFP Constant: 37</t>
  </si>
  <si>
    <t>% Stannous Fluoride</t>
  </si>
  <si>
    <t>Stannous Fluoride Constant: 69</t>
  </si>
  <si>
    <t>Toxic dose (mg/kg)</t>
  </si>
  <si>
    <t>Toxic Dose of 5 mg/kg confirmed by Dr. Thompson June 2020</t>
  </si>
  <si>
    <t>Total Elemental Fluoride Ingested</t>
  </si>
  <si>
    <t>Elemental Fluoride Ingested (mg/kg)</t>
  </si>
  <si>
    <r>
      <t xml:space="preserve"># of </t>
    </r>
    <r>
      <rPr>
        <b/>
        <sz val="11"/>
        <color theme="9" tint="-0.249977111117893"/>
        <rFont val="Calibri"/>
        <family val="2"/>
        <scheme val="minor"/>
      </rPr>
      <t>oz</t>
    </r>
    <r>
      <rPr>
        <sz val="11"/>
        <color theme="9" tint="-0.249977111117893"/>
        <rFont val="Calibri"/>
        <family val="2"/>
        <scheme val="minor"/>
      </rPr>
      <t xml:space="preserve"> Needed to be Toxic</t>
    </r>
  </si>
  <si>
    <r>
      <t xml:space="preserve"># of </t>
    </r>
    <r>
      <rPr>
        <b/>
        <sz val="11"/>
        <color rgb="FFFF0000"/>
        <rFont val="Calibri"/>
        <family val="2"/>
        <scheme val="minor"/>
      </rPr>
      <t>g</t>
    </r>
    <r>
      <rPr>
        <sz val="11"/>
        <color rgb="FF7030A0"/>
        <rFont val="Calibri"/>
        <family val="2"/>
        <scheme val="minor"/>
      </rPr>
      <t xml:space="preserve"> Needed to be Toxic</t>
    </r>
  </si>
  <si>
    <t>Per Micromedex References:</t>
  </si>
  <si>
    <r>
      <t xml:space="preserve">Equation (concentration in %) x (amount ingested in oz) x (constant) = mg of Elemental Fluoride </t>
    </r>
    <r>
      <rPr>
        <sz val="11"/>
        <color theme="1"/>
        <rFont val="Calibri"/>
        <family val="2"/>
      </rPr>
      <t>÷ weight (kg) = mg/kg</t>
    </r>
  </si>
  <si>
    <t>Imidazoline Calculations - "Otrivin"</t>
  </si>
  <si>
    <t>Isopropyl Alcohol - IPA</t>
  </si>
  <si>
    <r>
      <t xml:space="preserve">% of </t>
    </r>
    <r>
      <rPr>
        <b/>
        <sz val="11"/>
        <color theme="9"/>
        <rFont val="Calibri"/>
        <family val="2"/>
        <scheme val="minor"/>
      </rPr>
      <t>IPA</t>
    </r>
    <r>
      <rPr>
        <sz val="11"/>
        <color theme="1"/>
        <rFont val="Calibri"/>
        <family val="2"/>
        <scheme val="minor"/>
      </rPr>
      <t xml:space="preserve"> in Product</t>
    </r>
  </si>
  <si>
    <t>Per Dr. Thompson: Toxic Dose 0.5 mL/kg</t>
  </si>
  <si>
    <r>
      <t xml:space="preserve"># mL of </t>
    </r>
    <r>
      <rPr>
        <b/>
        <sz val="11"/>
        <color theme="9"/>
        <rFont val="Calibri"/>
        <family val="2"/>
        <scheme val="minor"/>
      </rPr>
      <t>IPA</t>
    </r>
    <r>
      <rPr>
        <sz val="11"/>
        <color theme="1"/>
        <rFont val="Calibri"/>
        <family val="2"/>
        <scheme val="minor"/>
      </rPr>
      <t>/mL of Product</t>
    </r>
  </si>
  <si>
    <t>Note: % conversion to mL of IPA/mL = %/100</t>
  </si>
  <si>
    <r>
      <t xml:space="preserve">mL of </t>
    </r>
    <r>
      <rPr>
        <b/>
        <sz val="11"/>
        <color theme="9"/>
        <rFont val="Calibri"/>
        <family val="2"/>
        <scheme val="minor"/>
      </rPr>
      <t>IPA</t>
    </r>
    <r>
      <rPr>
        <sz val="11"/>
        <color theme="1"/>
        <rFont val="Calibri"/>
        <family val="2"/>
        <scheme val="minor"/>
      </rPr>
      <t xml:space="preserve"> Ingested</t>
    </r>
  </si>
  <si>
    <r>
      <t>mL/kg of</t>
    </r>
    <r>
      <rPr>
        <b/>
        <sz val="11"/>
        <color theme="9"/>
        <rFont val="Calibri"/>
        <family val="2"/>
        <scheme val="minor"/>
      </rPr>
      <t xml:space="preserve"> IPA</t>
    </r>
    <r>
      <rPr>
        <sz val="11"/>
        <rFont val="Calibri"/>
        <family val="2"/>
        <scheme val="minor"/>
      </rPr>
      <t xml:space="preserve"> Ingested</t>
    </r>
  </si>
  <si>
    <t>Iron Tablet Calculations</t>
  </si>
  <si>
    <t>Iron Liquid Calculations</t>
  </si>
  <si>
    <t>Amount Ingested (Tablets) (if known)</t>
  </si>
  <si>
    <t>Ferrous Fumarate Tablets in (mg)</t>
  </si>
  <si>
    <t>÷ 3 in the calculation</t>
  </si>
  <si>
    <t>Ferrous Fumarate in (mg/mL)</t>
  </si>
  <si>
    <t>Ferrous Sulfate Tablets in (mg)</t>
  </si>
  <si>
    <t>÷ 5 in the calculation</t>
  </si>
  <si>
    <t>Ferrous Sulfate (mg/mL)</t>
  </si>
  <si>
    <t>Ferrous Gluconate Tablets in (mg)</t>
  </si>
  <si>
    <t>÷ 9 in the calculation</t>
  </si>
  <si>
    <t>Ferrous Gluconate (mg/mL)</t>
  </si>
  <si>
    <t>Ferrous Bisglycinate in (mg)</t>
  </si>
  <si>
    <t>÷ 3.65 per Toxinz</t>
  </si>
  <si>
    <t>Toxic Dose of Elemental Iron (mg/kg)</t>
  </si>
  <si>
    <t>Calculated Toxic dose  of Elemental Iron (mg)</t>
  </si>
  <si>
    <t>Total mg Elemental Iron Ingested</t>
  </si>
  <si>
    <t>mg/kg Elemental Iron Ingested</t>
  </si>
  <si>
    <t>Reference</t>
  </si>
  <si>
    <t>https://www2.gov.bc.ca/assets/gov/health/practitioner-pro/bc-guidelines/iron-deficiency-appendix-d.pdf</t>
  </si>
  <si>
    <t xml:space="preserve">Lidocaine Calculations </t>
  </si>
  <si>
    <t>NSAID Calculations</t>
  </si>
  <si>
    <t>NSAID Liquid Calculations</t>
  </si>
  <si>
    <t>Select from drop down menu</t>
  </si>
  <si>
    <t>Type of NSAID Tablet</t>
  </si>
  <si>
    <t>Type of NSAID</t>
  </si>
  <si>
    <t>Tablet Formulation (mg/tab)</t>
  </si>
  <si>
    <r>
      <rPr>
        <b/>
        <sz val="11"/>
        <color rgb="FFFF0000"/>
        <rFont val="Calibri"/>
        <family val="2"/>
        <scheme val="minor"/>
      </rPr>
      <t>NOTE:</t>
    </r>
    <r>
      <rPr>
        <sz val="11"/>
        <color theme="1"/>
        <rFont val="Calibri"/>
        <family val="2"/>
        <scheme val="minor"/>
      </rPr>
      <t xml:space="preserve"> Take liquids down to mg/mL eg. Ibuprofen = 100 mg/5 mL = 20 mg/mL</t>
    </r>
  </si>
  <si>
    <t>Potassium Chloride Calculations</t>
  </si>
  <si>
    <t>Tablet Formulation eg:  8 mEq = 600 mg/tablet</t>
  </si>
  <si>
    <t xml:space="preserve">Toxicity is as follows Per Toxinz: </t>
  </si>
  <si>
    <t>Greater than 1.5 mmol/kg (mEq/kg) potassium ingested in patients with good renal function</t>
  </si>
  <si>
    <t>Equivalent to 59 mg/kg potassium</t>
  </si>
  <si>
    <t>Equivalent to 112 mg/kg potassium chloride</t>
  </si>
  <si>
    <t>Equivalent to 153 mg/kg anhydrous potassium citrate</t>
  </si>
  <si>
    <r>
      <rPr>
        <b/>
        <sz val="11"/>
        <color rgb="FFFF0000"/>
        <rFont val="Calibri"/>
        <family val="2"/>
        <scheme val="minor"/>
      </rPr>
      <t>*** work in progress</t>
    </r>
    <r>
      <rPr>
        <sz val="11"/>
        <color theme="1"/>
        <rFont val="Calibri"/>
        <family val="2"/>
        <scheme val="minor"/>
      </rPr>
      <t xml:space="preserve"> </t>
    </r>
  </si>
  <si>
    <t>Menthol Calculations</t>
  </si>
  <si>
    <t>Sodium Chloride Calculations</t>
  </si>
  <si>
    <t># of mL of Sodium Ingested (if known)</t>
  </si>
  <si>
    <t>mg/mL of Sodium</t>
  </si>
  <si>
    <t>Per Toxinz: 
7.25 g sodium chloride/5 mL = 1450 mg/mL</t>
  </si>
  <si>
    <t>Tea Tree Oil - Pediatric Ingestions</t>
  </si>
  <si>
    <r>
      <t xml:space="preserve">mL of </t>
    </r>
    <r>
      <rPr>
        <b/>
        <sz val="11"/>
        <color theme="9"/>
        <rFont val="Calibri"/>
        <family val="2"/>
        <scheme val="minor"/>
      </rPr>
      <t>Substance</t>
    </r>
    <r>
      <rPr>
        <sz val="11"/>
        <color theme="1"/>
        <rFont val="Calibri"/>
        <family val="2"/>
        <scheme val="minor"/>
      </rPr>
      <t>/mL of Product</t>
    </r>
  </si>
  <si>
    <t>Note: % conversion to mg/mL = %/100</t>
  </si>
  <si>
    <r>
      <t xml:space="preserve">mL of </t>
    </r>
    <r>
      <rPr>
        <b/>
        <sz val="11"/>
        <color theme="9"/>
        <rFont val="Calibri"/>
        <family val="2"/>
        <scheme val="minor"/>
      </rPr>
      <t>Substance</t>
    </r>
    <r>
      <rPr>
        <sz val="11"/>
        <color theme="1"/>
        <rFont val="Calibri"/>
        <family val="2"/>
        <scheme val="minor"/>
      </rPr>
      <t xml:space="preserve"> Ingested</t>
    </r>
  </si>
  <si>
    <r>
      <t>mL/kg of</t>
    </r>
    <r>
      <rPr>
        <b/>
        <sz val="11"/>
        <color theme="9"/>
        <rFont val="Calibri"/>
        <family val="2"/>
        <scheme val="minor"/>
      </rPr>
      <t xml:space="preserve"> Substance</t>
    </r>
    <r>
      <rPr>
        <sz val="11"/>
        <rFont val="Calibri"/>
        <family val="2"/>
        <scheme val="minor"/>
      </rPr>
      <t xml:space="preserve"> Ingested</t>
    </r>
  </si>
  <si>
    <r>
      <rPr>
        <b/>
        <sz val="11"/>
        <color theme="9"/>
        <rFont val="Calibri"/>
        <family val="2"/>
        <scheme val="minor"/>
      </rPr>
      <t xml:space="preserve">CHILDREN </t>
    </r>
    <r>
      <rPr>
        <b/>
        <sz val="11"/>
        <color theme="1"/>
        <rFont val="Calibri"/>
        <family val="2"/>
        <scheme val="minor"/>
      </rPr>
      <t xml:space="preserve">Vitamin A and Beta Carotene in RAE (Retinol Activity Equivalents)/mcg vs IU * New Labelling </t>
    </r>
  </si>
  <si>
    <r>
      <rPr>
        <b/>
        <sz val="11"/>
        <color theme="4"/>
        <rFont val="Calibri"/>
        <family val="2"/>
        <scheme val="minor"/>
      </rPr>
      <t>ADULT</t>
    </r>
    <r>
      <rPr>
        <b/>
        <sz val="11"/>
        <color theme="5" tint="-0.249977111117893"/>
        <rFont val="Calibri"/>
        <family val="2"/>
        <scheme val="minor"/>
      </rPr>
      <t xml:space="preserve"> </t>
    </r>
    <r>
      <rPr>
        <b/>
        <sz val="11"/>
        <color theme="1"/>
        <rFont val="Calibri"/>
        <family val="2"/>
        <scheme val="minor"/>
      </rPr>
      <t xml:space="preserve">Vitamin A and Beta Carotene in RAE (Retinol Activity Equivalents)/mcg vs IU * New Labelling </t>
    </r>
  </si>
  <si>
    <t>Vitamin A per Tablet</t>
  </si>
  <si>
    <t>RAE/mcg</t>
  </si>
  <si>
    <t>Choose IU or mcg from drop down menu</t>
  </si>
  <si>
    <t>IU</t>
  </si>
  <si>
    <t xml:space="preserve">Beta Carotene Tablet </t>
  </si>
  <si>
    <t xml:space="preserve">Total Vitamin A per Tablet  </t>
  </si>
  <si>
    <t>Toxic Dose in RAE (mcg)</t>
  </si>
  <si>
    <t>RAE (mcg)</t>
  </si>
  <si>
    <t>Toxic Dose in IU</t>
  </si>
  <si>
    <t>Calculated Total Dose Ingested by Pt</t>
  </si>
  <si>
    <t xml:space="preserve"> Conversion for Vitamin A RAE/mcg to IU</t>
  </si>
  <si>
    <t>Vitamin A</t>
  </si>
  <si>
    <t>Units Known</t>
  </si>
  <si>
    <t>Units Needed</t>
  </si>
  <si>
    <t xml:space="preserve">Equals </t>
  </si>
  <si>
    <t>Beta Carotene</t>
  </si>
  <si>
    <t>Vitamin A 1 IU = 0.3 mcg</t>
  </si>
  <si>
    <t>Beta Carotene 1 IU = 0.6 mcg</t>
  </si>
  <si>
    <r>
      <rPr>
        <b/>
        <sz val="11"/>
        <rFont val="Calibri"/>
        <family val="2"/>
        <scheme val="minor"/>
      </rPr>
      <t>Per email from Margaret in 2019:</t>
    </r>
    <r>
      <rPr>
        <sz val="11"/>
        <color theme="1"/>
        <rFont val="Calibri"/>
        <family val="2"/>
        <scheme val="minor"/>
      </rPr>
      <t xml:space="preserve"> The FDA has new reporting requirements… These are NOT Health Canada enforced (but may follow soon.) Vitamin A content of supplements will now be reported in RAE’s (retinol activity equivalents) (effective Jan 1, 2020). (Some companies have been given an extension until Jan 1, 2021.)
</t>
    </r>
    <r>
      <rPr>
        <sz val="11"/>
        <color rgb="FFC00000"/>
        <rFont val="Calibri"/>
        <family val="2"/>
        <scheme val="minor"/>
      </rPr>
      <t>For pediatrics</t>
    </r>
    <r>
      <rPr>
        <sz val="11"/>
        <color theme="1"/>
        <rFont val="Calibri"/>
        <family val="2"/>
        <scheme val="minor"/>
      </rPr>
      <t xml:space="preserve">, the Toxinz intervention level (send to hospital) is 300,000 IU = 90,000 RAEs for both retinol &amp; supplementary beta-carotene.
</t>
    </r>
    <r>
      <rPr>
        <sz val="11"/>
        <color theme="4"/>
        <rFont val="Calibri"/>
        <family val="2"/>
        <scheme val="minor"/>
      </rPr>
      <t>For adults</t>
    </r>
    <r>
      <rPr>
        <sz val="11"/>
        <color theme="1"/>
        <rFont val="Calibri"/>
        <family val="2"/>
        <scheme val="minor"/>
      </rPr>
      <t xml:space="preserve">, the intervention level in Toxinz (send to hospital) is 1,000,000 IU = 300,000 RAEs (for both retinol &amp; supplementary beta-carotene).
</t>
    </r>
  </si>
  <si>
    <t>Retinol Creams/Lotions or Liquids - Vitamin A Equivalents</t>
  </si>
  <si>
    <t>Pediatric</t>
  </si>
  <si>
    <t>Adult</t>
  </si>
  <si>
    <t>NOTE: 1 RAE = 1 mcg = 0.001 mg</t>
  </si>
  <si>
    <t>Toxic Dose in mg (Toxinz)</t>
  </si>
  <si>
    <t>Toxic Dose in RAE/mcg</t>
  </si>
  <si>
    <r>
      <t xml:space="preserve">RAE/mcg of </t>
    </r>
    <r>
      <rPr>
        <b/>
        <sz val="11"/>
        <color theme="9"/>
        <rFont val="Calibri"/>
        <family val="2"/>
        <scheme val="minor"/>
      </rPr>
      <t>Substance</t>
    </r>
    <r>
      <rPr>
        <sz val="11"/>
        <color theme="1"/>
        <rFont val="Calibri"/>
        <family val="2"/>
        <scheme val="minor"/>
      </rPr>
      <t>/mL of Product</t>
    </r>
  </si>
  <si>
    <r>
      <t xml:space="preserve">RAE/mcg of </t>
    </r>
    <r>
      <rPr>
        <b/>
        <sz val="11"/>
        <color theme="9"/>
        <rFont val="Calibri"/>
        <family val="2"/>
        <scheme val="minor"/>
      </rPr>
      <t>Substance</t>
    </r>
    <r>
      <rPr>
        <sz val="11"/>
        <color theme="1"/>
        <rFont val="Calibri"/>
        <family val="2"/>
        <scheme val="minor"/>
      </rPr>
      <t xml:space="preserve"> Ingested</t>
    </r>
  </si>
  <si>
    <t>Vitamin D Tablets</t>
  </si>
  <si>
    <t xml:space="preserve"> Conversion for Vitamin D mcg to IU</t>
  </si>
  <si>
    <t>Vitamin D/TAB/Drop</t>
  </si>
  <si>
    <t>Vitamin D per Tablet</t>
  </si>
  <si>
    <t>mcg</t>
  </si>
  <si>
    <t>Select units from the drop down arrows</t>
  </si>
  <si>
    <t>Vitamin D 1 mcg = 40 IU</t>
  </si>
  <si>
    <t>Toxic Dose</t>
  </si>
  <si>
    <t xml:space="preserve"> Conversion for mcg to mg </t>
  </si>
  <si>
    <t>Amount in mcg</t>
  </si>
  <si>
    <t>Amount in mg</t>
  </si>
  <si>
    <t>Vitamin D Liquid</t>
  </si>
  <si>
    <r>
      <t xml:space="preserve">PLEASE NOTE:  Toxinz recently removed the acute dosing from their  "refer to hospital if &gt; 600,00 IU" section. However, Dr. MacKenzie and Dr. Thompson agree with Toxinz recommendation further down the page:
</t>
    </r>
    <r>
      <rPr>
        <b/>
        <sz val="11"/>
        <color theme="1"/>
        <rFont val="Calibri"/>
        <family val="2"/>
        <scheme val="minor"/>
      </rPr>
      <t xml:space="preserve">Decontamination with activated charcoal is unlikely to be required following acute accidental overdoses of vitamin D. It can be considered if a large acute overdose occurs (ingestions &gt; 600,000 IU (15 mg) vitamin D or derivative).
</t>
    </r>
    <r>
      <rPr>
        <b/>
        <sz val="11"/>
        <color rgb="FFFF0000"/>
        <rFont val="Calibri"/>
        <family val="2"/>
        <scheme val="minor"/>
      </rPr>
      <t xml:space="preserve">
Consider consulting for all chronic vitamin D exposures. </t>
    </r>
  </si>
  <si>
    <t>Vitamin D per Drop</t>
  </si>
  <si>
    <t># Drops per Bottle</t>
  </si>
  <si>
    <t>Volume of Bottle (# of mL total)</t>
  </si>
  <si>
    <t>iu per mL</t>
  </si>
  <si>
    <t>*W/W or W/V Calculations - Uncategorized</t>
  </si>
  <si>
    <r>
      <rPr>
        <sz val="11"/>
        <color theme="1"/>
        <rFont val="Calibri"/>
        <family val="2"/>
        <scheme val="minor"/>
      </rPr>
      <t xml:space="preserve">mg of </t>
    </r>
    <r>
      <rPr>
        <b/>
        <sz val="11"/>
        <color theme="9"/>
        <rFont val="Calibri"/>
        <family val="2"/>
        <scheme val="minor"/>
      </rPr>
      <t>Substance</t>
    </r>
    <r>
      <rPr>
        <sz val="11"/>
        <color theme="1"/>
        <rFont val="Calibri"/>
        <family val="2"/>
        <scheme val="minor"/>
      </rPr>
      <t>/mL of Product</t>
    </r>
  </si>
  <si>
    <t>W/W means the number of g of ingredient/substance in 100 g of product. Applies to solids in solids. eg:  Hydrocortisone/substance cream 2% W/W contains 2 g of drug in 100 g of product</t>
  </si>
  <si>
    <t>W/V means the number of g of ingredient/substance in 100 mL of product. Applies to solids or powders dissolved in a liquid base. eg:  DEET 5% W/V which means 5 g of DEET/substance in 100 mL of bug spray/product</t>
  </si>
  <si>
    <t>*V/V Calculations - Uncategorized</t>
  </si>
  <si>
    <t>V/V means the number of ml of an ingredient/substance in 100 mL of product. Applies to liquids disolved in a liquid base - typically alcohols. eg: Rubbing Alcohol contains IPA 70% V/V which means it contains 70 mL of IPA (Substance) in 100 mL of Rubbing Alcohol (Product)</t>
  </si>
  <si>
    <t>Uncategorized Tablet Medication Calculation</t>
  </si>
  <si>
    <t>Uncategorized Liquid Medication Calculation</t>
  </si>
  <si>
    <r>
      <t xml:space="preserve">NOTE: </t>
    </r>
    <r>
      <rPr>
        <sz val="11"/>
        <color theme="4" tint="-0.499984740745262"/>
        <rFont val="Calibri"/>
        <family val="2"/>
        <scheme val="minor"/>
      </rPr>
      <t>Take the formulation down to mg/mL ie. 100 mg/5 mL = 20 mg/mL</t>
    </r>
  </si>
  <si>
    <r>
      <t xml:space="preserve">DigiFab Calculation </t>
    </r>
    <r>
      <rPr>
        <b/>
        <sz val="11"/>
        <color rgb="FFFF0000"/>
        <rFont val="Calibri"/>
        <family val="2"/>
        <scheme val="minor"/>
      </rPr>
      <t>-</t>
    </r>
    <r>
      <rPr>
        <b/>
        <sz val="11"/>
        <color theme="1"/>
        <rFont val="Calibri"/>
        <family val="2"/>
        <scheme val="minor"/>
      </rPr>
      <t xml:space="preserve"> </t>
    </r>
    <r>
      <rPr>
        <b/>
        <sz val="11"/>
        <color rgb="FFFF0000"/>
        <rFont val="Calibri"/>
        <family val="2"/>
        <scheme val="minor"/>
      </rPr>
      <t>CONSULT REQUIRED</t>
    </r>
  </si>
  <si>
    <r>
      <t xml:space="preserve">DigiFab Calculation per Ingested Digoxin in (mg) </t>
    </r>
    <r>
      <rPr>
        <b/>
        <sz val="10"/>
        <color rgb="FFFF0000"/>
        <rFont val="Calibri"/>
        <family val="2"/>
        <scheme val="minor"/>
      </rPr>
      <t>- CONSULT REQUIRED</t>
    </r>
  </si>
  <si>
    <t>DigiFab Calculation to completely neutralize all of digoxin IF serum steady state level known</t>
  </si>
  <si>
    <t>DigiFab Calculation to completely neutralize all of digoxin IF number of milligrams of digoxin ingested known</t>
  </si>
  <si>
    <t># vials = dig level (nmol/L) x 0.78 x wt (kg) / 100</t>
  </si>
  <si>
    <t>Ingested dose of tablets (in mg) multiplied by 0.8 (for 80% bioavailability) and divided by 0.5 mg per vial.</t>
  </si>
  <si>
    <t>Patient Wt (kg)</t>
  </si>
  <si>
    <t>Dig Level in nmol/L</t>
  </si>
  <si>
    <t>Ingested Dose in mg</t>
  </si>
  <si>
    <t>Number of Vials of DigiFab</t>
  </si>
  <si>
    <t>Fomepizole Dosing Calculations</t>
  </si>
  <si>
    <t>Cofactors</t>
  </si>
  <si>
    <t xml:space="preserve">Patient Wt (kg) </t>
  </si>
  <si>
    <t xml:space="preserve">LEUCOVORIN </t>
  </si>
  <si>
    <t>1 mg/kg to MAX 100 kg of Body Wt</t>
  </si>
  <si>
    <t>2mg/kg to MAX 100 kg of body Wt</t>
  </si>
  <si>
    <t>LOADING DOSE TIME "0"</t>
  </si>
  <si>
    <r>
      <t>Leucovorin (or Folic Acid) 1-2 mg/kg over 30 minutes IV</t>
    </r>
    <r>
      <rPr>
        <sz val="11"/>
        <rFont val="Calibri"/>
        <family val="2"/>
        <scheme val="minor"/>
      </rPr>
      <t xml:space="preserve"> Q4-6</t>
    </r>
    <r>
      <rPr>
        <sz val="11"/>
        <color theme="1"/>
        <rFont val="Calibri"/>
        <family val="2"/>
        <scheme val="minor"/>
      </rPr>
      <t>H (assume max body Wt of 100 kg)</t>
    </r>
  </si>
  <si>
    <t>15 mg/kg IV  in 100 mL NS or D5W over 30 minutes</t>
  </si>
  <si>
    <t>THIAMINE</t>
  </si>
  <si>
    <t>MAINTENANCE DOSES  @ "12, 24, 36 Hours"</t>
  </si>
  <si>
    <r>
      <rPr>
        <b/>
        <sz val="11"/>
        <color theme="9"/>
        <rFont val="Calibri"/>
        <family val="2"/>
        <scheme val="minor"/>
      </rPr>
      <t xml:space="preserve">ADULT: </t>
    </r>
    <r>
      <rPr>
        <sz val="11"/>
        <color theme="1"/>
        <rFont val="Calibri"/>
        <family val="2"/>
        <scheme val="minor"/>
      </rPr>
      <t>Thiamine 100 mg IV Q8H if patient is chronic alcoholic or if product is EG and level not known</t>
    </r>
  </si>
  <si>
    <t>10 mg/kg IV in 100 mL NS or D5W over 30 minutes to start 12 hours after loading dose AND Q12H x 4 doses total</t>
  </si>
  <si>
    <r>
      <t>CHILD:</t>
    </r>
    <r>
      <rPr>
        <sz val="11"/>
        <color rgb="FFFF0000"/>
        <rFont val="Calibri"/>
        <family val="2"/>
        <scheme val="minor"/>
      </rPr>
      <t xml:space="preserve"> </t>
    </r>
    <r>
      <rPr>
        <sz val="11"/>
        <rFont val="Calibri"/>
        <family val="2"/>
        <scheme val="minor"/>
      </rPr>
      <t>Thiamine 50 mg IV Q8H if patient is chronic alcoholic or if product is EG and level not known</t>
    </r>
  </si>
  <si>
    <t>PYRIDOXINE</t>
  </si>
  <si>
    <t xml:space="preserve">Followed at 48 Hours from Time "0" by:  </t>
  </si>
  <si>
    <t>Pyridoxine 50 mg IV Q6H if product is EG and level not known</t>
  </si>
  <si>
    <t>15 mg/kg IV in 100 mL NS or D5W over 30 minutes Q12H until the patient is stable, no acidosis and falling Methanol/EG levels**</t>
  </si>
  <si>
    <t>DURING DIALYSIS</t>
  </si>
  <si>
    <r>
      <t xml:space="preserve">10mg/kg IV in 100 mL NS or D5W over 30 minutes </t>
    </r>
    <r>
      <rPr>
        <b/>
        <sz val="11"/>
        <color rgb="FFFF0000"/>
        <rFont val="Calibri"/>
        <family val="2"/>
        <scheme val="minor"/>
      </rPr>
      <t>Q4H</t>
    </r>
  </si>
  <si>
    <t>Note: if patient has co-ingested ethanol, fomepizole can be delayed until the serum ethanol falls to &lt; 23mmol/L.</t>
  </si>
  <si>
    <t xml:space="preserve">High Dose Insulin Euglycemia Therapy (HIE) - Refer to Patient Resource Sheets </t>
  </si>
  <si>
    <r>
      <rPr>
        <b/>
        <sz val="11"/>
        <color theme="8"/>
        <rFont val="Calibri"/>
        <family val="2"/>
        <scheme val="minor"/>
      </rPr>
      <t>Potassium:</t>
    </r>
    <r>
      <rPr>
        <sz val="11"/>
        <color theme="1"/>
        <rFont val="Calibri"/>
        <family val="2"/>
        <scheme val="minor"/>
      </rPr>
      <t xml:space="preserve"> Treat initial hypokalemia if present (K+ &lt; 3 mmol/L or 3 mEq/L) per Hospital IV potassium replacement protocol. Monitor Q2H and replace if (&lt; 3 mmol/L or 3 mEq/L)</t>
    </r>
  </si>
  <si>
    <r>
      <rPr>
        <b/>
        <sz val="11"/>
        <color theme="8" tint="-0.249977111117893"/>
        <rFont val="Calibri"/>
        <family val="2"/>
        <scheme val="minor"/>
      </rPr>
      <t>Glucose:</t>
    </r>
    <r>
      <rPr>
        <sz val="11"/>
        <color theme="1"/>
        <rFont val="Calibri"/>
        <family val="2"/>
        <scheme val="minor"/>
      </rPr>
      <t xml:space="preserve"> If initial blood Glucose is less than 11 mmol/L (200 mg/dL) consider administration of 50 mL D50W for adult. </t>
    </r>
    <r>
      <rPr>
        <sz val="11"/>
        <color rgb="FFFF0000"/>
        <rFont val="Calibri"/>
        <family val="2"/>
        <scheme val="minor"/>
      </rPr>
      <t>For children 2-4 mL/kg D25W</t>
    </r>
    <r>
      <rPr>
        <sz val="11"/>
        <color theme="1"/>
        <rFont val="Calibri"/>
        <family val="2"/>
        <scheme val="minor"/>
      </rPr>
      <t xml:space="preserve"> see calculaton below</t>
    </r>
  </si>
  <si>
    <t>mL/kg of IV D25W for Children *</t>
  </si>
  <si>
    <t>Total mL</t>
  </si>
  <si>
    <t>2 mL/kg of D25W</t>
  </si>
  <si>
    <t>3 mL/kg of D25W</t>
  </si>
  <si>
    <t>4 mL/kg of D25W</t>
  </si>
  <si>
    <t>Maintenance infusion: D10W-1/2NS at 100mL/hour in adults (age-appropriate rate for children)</t>
  </si>
  <si>
    <t>Monitor Blood Glucose Q20min in 1st hour then Q1H when stable replacing Glucose either with bolus dosing or maintenance infusions</t>
  </si>
  <si>
    <t>Infusions of concentrated glucose solutions may be required (e.g. D25 or D50).</t>
  </si>
  <si>
    <r>
      <rPr>
        <b/>
        <sz val="11"/>
        <color theme="9"/>
        <rFont val="Calibri"/>
        <family val="2"/>
        <scheme val="minor"/>
      </rPr>
      <t>Target:</t>
    </r>
    <r>
      <rPr>
        <sz val="11"/>
        <color theme="1"/>
        <rFont val="Calibri"/>
        <family val="2"/>
        <scheme val="minor"/>
      </rPr>
      <t xml:space="preserve"> maintain euglycemia between 5-11mmol/L (100-200 mg/dL)</t>
    </r>
  </si>
  <si>
    <t xml:space="preserve">Insulin: </t>
  </si>
  <si>
    <r>
      <t xml:space="preserve">Prepare </t>
    </r>
    <r>
      <rPr>
        <sz val="11"/>
        <color theme="5"/>
        <rFont val="Calibri"/>
        <family val="2"/>
        <scheme val="minor"/>
      </rPr>
      <t>1 Unit/mL</t>
    </r>
    <r>
      <rPr>
        <sz val="11"/>
        <color theme="1"/>
        <rFont val="Calibri"/>
        <family val="2"/>
        <scheme val="minor"/>
      </rPr>
      <t xml:space="preserve"> IV Solution of Insulin Regular </t>
    </r>
  </si>
  <si>
    <t>Bolus Units</t>
  </si>
  <si>
    <t>Infusion Units/hr</t>
  </si>
  <si>
    <t xml:space="preserve">Bolus 1 Unit/kg of Insulin Regular </t>
  </si>
  <si>
    <t>N/A</t>
  </si>
  <si>
    <t>Folllowed by a continuous infusion of 1 unit/kg/hour of Insulin Regular</t>
  </si>
  <si>
    <r>
      <t xml:space="preserve">If no hemodynamic improvement, rate may be increased by 1 Unit/kg/hour every 20-30 minutes up to 10 Unit/kg/hour. </t>
    </r>
    <r>
      <rPr>
        <sz val="11"/>
        <color rgb="FFFF0000"/>
        <rFont val="Calibri"/>
        <family val="2"/>
        <scheme val="minor"/>
      </rPr>
      <t>Insulin can be concentrated to 10 Unit/mL to avoid fluid overload</t>
    </r>
  </si>
  <si>
    <t>LIPIDS - Per the Lipid Rescitation Therapy (LRT) Intralipid®/Lipid Rescue Therapy Sheet</t>
  </si>
  <si>
    <t>Patient Wt (kg) LEAN BODY WEIGHT</t>
  </si>
  <si>
    <t xml:space="preserve"> DOSE</t>
  </si>
  <si>
    <t>Amount in mL</t>
  </si>
  <si>
    <t>Bolus 20% Lipid Emulsion Infusion 1.5 mL/kg over 2-3 minutes</t>
  </si>
  <si>
    <r>
      <t xml:space="preserve">If </t>
    </r>
    <r>
      <rPr>
        <b/>
        <sz val="11"/>
        <color rgb="FFFF0000"/>
        <rFont val="Calibri"/>
        <family val="2"/>
        <scheme val="minor"/>
      </rPr>
      <t>NO</t>
    </r>
    <r>
      <rPr>
        <sz val="11"/>
        <color theme="1"/>
        <rFont val="Calibri"/>
        <family val="2"/>
        <scheme val="minor"/>
      </rPr>
      <t xml:space="preserve"> reponse, repeat bolus 1.5 mL/Kg IV over 2-3 minutes </t>
    </r>
    <r>
      <rPr>
        <b/>
        <sz val="11"/>
        <color rgb="FFFF0000"/>
        <rFont val="Calibri"/>
        <family val="2"/>
        <scheme val="minor"/>
      </rPr>
      <t>EVERY 5 minutes up to TWO times for persistent cardiovascular collapse</t>
    </r>
  </si>
  <si>
    <r>
      <t xml:space="preserve">If </t>
    </r>
    <r>
      <rPr>
        <b/>
        <sz val="11"/>
        <color rgb="FFFF0000"/>
        <rFont val="Calibri"/>
        <family val="2"/>
        <scheme val="minor"/>
      </rPr>
      <t>NO</t>
    </r>
    <r>
      <rPr>
        <sz val="11"/>
        <color theme="1"/>
        <rFont val="Calibri"/>
        <family val="2"/>
        <scheme val="minor"/>
      </rPr>
      <t xml:space="preserve"> response to boluses, discontinue lipid emulsion and consider alternative therapies
</t>
    </r>
  </si>
  <si>
    <r>
      <rPr>
        <sz val="11"/>
        <rFont val="Calibri"/>
        <family val="2"/>
        <scheme val="minor"/>
      </rPr>
      <t xml:space="preserve">If </t>
    </r>
    <r>
      <rPr>
        <b/>
        <sz val="11"/>
        <color theme="9"/>
        <rFont val="Calibri"/>
        <family val="2"/>
        <scheme val="minor"/>
      </rPr>
      <t>response</t>
    </r>
    <r>
      <rPr>
        <sz val="11"/>
        <rFont val="Calibri"/>
        <family val="2"/>
        <scheme val="minor"/>
      </rPr>
      <t xml:space="preserve"> to bolus(es), follow with continuous infusion adjusted by roller clamp</t>
    </r>
    <r>
      <rPr>
        <b/>
        <sz val="11"/>
        <rFont val="Calibri"/>
        <family val="2"/>
        <scheme val="minor"/>
      </rPr>
      <t xml:space="preserve">
at 0.25 mL/kg/min (~18 mL/min; adjust by roller clamp)</t>
    </r>
  </si>
  <si>
    <t>mL/min</t>
  </si>
  <si>
    <t>Run at 0.25 mL/kg/min</t>
  </si>
  <si>
    <t>Continue the infusion for at least 10 minutes after attaining circulatory stability</t>
  </si>
  <si>
    <r>
      <t xml:space="preserve">If there is an initial response to the bolus followed by the re-emergence of hemodynamic instability, the </t>
    </r>
    <r>
      <rPr>
        <b/>
        <sz val="11"/>
        <color theme="9"/>
        <rFont val="Calibri"/>
        <family val="2"/>
        <scheme val="minor"/>
      </rPr>
      <t>bolus</t>
    </r>
    <r>
      <rPr>
        <sz val="11"/>
        <color theme="1"/>
        <rFont val="Calibri"/>
        <family val="2"/>
        <scheme val="minor"/>
      </rPr>
      <t xml:space="preserve"> could be repeated</t>
    </r>
  </si>
  <si>
    <t>When possible, lipid resuscitation therapy should be terminated after 1 h, or less, if the patient’s clinical status permits</t>
  </si>
  <si>
    <t xml:space="preserve">RECOMMENDED UPPER LIMIT: </t>
  </si>
  <si>
    <t>Max-Total mL</t>
  </si>
  <si>
    <r>
      <t xml:space="preserve">Approximately: </t>
    </r>
    <r>
      <rPr>
        <sz val="11"/>
        <color rgb="FFFF0000"/>
        <rFont val="Calibri"/>
        <family val="2"/>
        <scheme val="minor"/>
      </rPr>
      <t>10-12 mL/kg</t>
    </r>
    <r>
      <rPr>
        <sz val="11"/>
        <color theme="1"/>
        <rFont val="Calibri"/>
        <family val="2"/>
        <scheme val="minor"/>
      </rPr>
      <t xml:space="preserve"> Lipid Emulsion Therapy over the first 30 min</t>
    </r>
  </si>
  <si>
    <t>Prolonging the duration of lipid infusion in consult with Toxicologist</t>
  </si>
  <si>
    <r>
      <t xml:space="preserve"> </t>
    </r>
    <r>
      <rPr>
        <sz val="11"/>
        <color rgb="FFFF0000"/>
        <rFont val="Calibri"/>
        <family val="2"/>
        <scheme val="minor"/>
      </rPr>
      <t>0.025 mL/kg/minute (i.e. 1/10 the initial rate)</t>
    </r>
  </si>
  <si>
    <r>
      <rPr>
        <b/>
        <sz val="11"/>
        <color theme="1"/>
        <rFont val="Calibri"/>
        <family val="2"/>
        <scheme val="minor"/>
      </rPr>
      <t>Avoid:</t>
    </r>
    <r>
      <rPr>
        <sz val="11"/>
        <color theme="1"/>
        <rFont val="Calibri"/>
        <family val="2"/>
        <scheme val="minor"/>
      </rPr>
      <t xml:space="preserve"> Vasopressin, Calcium Channel Blockers and </t>
    </r>
    <r>
      <rPr>
        <sz val="11"/>
        <color theme="1"/>
        <rFont val="Calibri"/>
        <family val="2"/>
      </rPr>
      <t>β- Blockers</t>
    </r>
    <r>
      <rPr>
        <sz val="11"/>
        <color theme="1"/>
        <rFont val="Calibri"/>
        <family val="2"/>
        <scheme val="minor"/>
      </rPr>
      <t>, local anesthtics, Propofol in patients with cardiovascular instablility</t>
    </r>
  </si>
  <si>
    <r>
      <rPr>
        <b/>
        <sz val="11"/>
        <color theme="1"/>
        <rFont val="Calibri"/>
        <family val="2"/>
        <scheme val="minor"/>
      </rPr>
      <t>Contraindications:</t>
    </r>
    <r>
      <rPr>
        <sz val="11"/>
        <color theme="1"/>
        <rFont val="Calibri"/>
        <family val="2"/>
        <scheme val="minor"/>
      </rPr>
      <t xml:space="preserve"> Hypersensitivity to emulsion fat, severe egg or legume (soyabean) allergies</t>
    </r>
  </si>
  <si>
    <r>
      <rPr>
        <b/>
        <sz val="11"/>
        <color theme="1"/>
        <rFont val="Calibri"/>
        <family val="2"/>
        <scheme val="minor"/>
      </rPr>
      <t>Reported Complications</t>
    </r>
    <r>
      <rPr>
        <sz val="11"/>
        <color theme="1"/>
        <rFont val="Calibri"/>
        <family val="2"/>
        <scheme val="minor"/>
      </rPr>
      <t>: Laboratory interference for a few hours ~ 1-25 hours has been reported,  fat overload syndrome, pancreatitis, ARDS</t>
    </r>
  </si>
  <si>
    <t>NAC 3% NEW 2026 Dosing Calculations</t>
  </si>
  <si>
    <t xml:space="preserve"> Refer to Preparation of 3% NAC PDF sheet for different Patient Weight Categories</t>
  </si>
  <si>
    <t>http://www.ontariopoisoncentre.ca/pdf/78797-How%20to%20Solution.pdf</t>
  </si>
  <si>
    <t>Patient weight</t>
  </si>
  <si>
    <t>kg</t>
  </si>
  <si>
    <t>IV Rate Calculation</t>
  </si>
  <si>
    <t>Loading Dose 5mL/kg  over 1 hour</t>
  </si>
  <si>
    <t>mL/hr</t>
  </si>
  <si>
    <r>
      <t xml:space="preserve">Maintenance Dose </t>
    </r>
    <r>
      <rPr>
        <sz val="11"/>
        <rFont val="Calibri"/>
        <family val="2"/>
        <scheme val="minor"/>
      </rPr>
      <t>0.5 mL/kg/hour</t>
    </r>
    <r>
      <rPr>
        <b/>
        <sz val="11"/>
        <color rgb="FFFF0000"/>
        <rFont val="Calibri"/>
        <family val="2"/>
        <scheme val="minor"/>
      </rPr>
      <t xml:space="preserve"> *</t>
    </r>
  </si>
  <si>
    <t>Smart Pump Dosing</t>
  </si>
  <si>
    <t>Loading Dose 150 mg/kg over 1 hour</t>
  </si>
  <si>
    <t>mg/hr</t>
  </si>
  <si>
    <r>
      <t>Maintenance Dose</t>
    </r>
    <r>
      <rPr>
        <sz val="11"/>
        <color rgb="FFFF0000"/>
        <rFont val="Calibri"/>
        <family val="2"/>
        <scheme val="minor"/>
      </rPr>
      <t xml:space="preserve"> </t>
    </r>
    <r>
      <rPr>
        <sz val="11"/>
        <rFont val="Calibri"/>
        <family val="2"/>
        <scheme val="minor"/>
      </rPr>
      <t>15 mg/kg/hour</t>
    </r>
    <r>
      <rPr>
        <sz val="11"/>
        <color rgb="FFFF0000"/>
        <rFont val="Calibri"/>
        <family val="2"/>
        <scheme val="minor"/>
      </rPr>
      <t xml:space="preserve"> *</t>
    </r>
  </si>
  <si>
    <t>* = until stopping rules are met</t>
  </si>
  <si>
    <t>New OPC APAP Nomogram  - APRIL 2026</t>
  </si>
  <si>
    <r>
      <rPr>
        <b/>
        <sz val="11"/>
        <color rgb="FFFF0000"/>
        <rFont val="Calibri"/>
        <family val="2"/>
        <scheme val="minor"/>
      </rPr>
      <t>Please NOTE:</t>
    </r>
    <r>
      <rPr>
        <sz val="11"/>
        <color theme="1"/>
        <rFont val="Calibri"/>
        <family val="2"/>
        <scheme val="minor"/>
      </rPr>
      <t xml:space="preserve"> When using this nomagram ensure accurate time of ingestion AND accurate time the labs were drawn</t>
    </r>
  </si>
  <si>
    <t>Hours</t>
  </si>
  <si>
    <t>APAP Standard Line</t>
  </si>
  <si>
    <t>APAP High Risk Line</t>
  </si>
  <si>
    <t>APAP Overdose Risk Assessment Chart</t>
  </si>
  <si>
    <t>Acetaminophen lab value</t>
  </si>
  <si>
    <t>µmol/L</t>
  </si>
  <si>
    <t>Time between ingestion and APAP level drawn</t>
  </si>
  <si>
    <t>hours</t>
  </si>
  <si>
    <t>Lab Conversion for APAP</t>
  </si>
  <si>
    <t>APAP Level</t>
  </si>
  <si>
    <t>mg/L</t>
  </si>
  <si>
    <t>Undetectable Level &lt;66 umol/L</t>
  </si>
  <si>
    <t>NAC COMPARISON CALCULATIONS</t>
  </si>
  <si>
    <t>Instructions For Use:</t>
  </si>
  <si>
    <r>
      <rPr>
        <b/>
        <sz val="18"/>
        <color rgb="FFFF0000"/>
        <rFont val="Calibri"/>
        <family val="2"/>
      </rPr>
      <t>Box A.</t>
    </r>
    <r>
      <rPr>
        <b/>
        <sz val="18"/>
        <color theme="9"/>
        <rFont val="Calibri"/>
        <family val="2"/>
      </rPr>
      <t xml:space="preserve"> </t>
    </r>
    <r>
      <rPr>
        <b/>
        <sz val="18"/>
        <color theme="8" tint="-0.249977111117893"/>
        <rFont val="Calibri"/>
        <family val="2"/>
      </rPr>
      <t>NAC 3% New NAC Calculation IF Followed Correctly</t>
    </r>
    <r>
      <rPr>
        <b/>
        <sz val="18"/>
        <color theme="9"/>
        <rFont val="Calibri"/>
        <family val="2"/>
      </rPr>
      <t xml:space="preserve"> </t>
    </r>
  </si>
  <si>
    <r>
      <t xml:space="preserve">Insert the pt’s weight in </t>
    </r>
    <r>
      <rPr>
        <b/>
        <sz val="11"/>
        <color rgb="FFED4949"/>
        <rFont val="Calibri"/>
        <family val="2"/>
      </rPr>
      <t>BOX A</t>
    </r>
    <r>
      <rPr>
        <sz val="11"/>
        <color theme="1"/>
        <rFont val="Calibri"/>
        <family val="2"/>
      </rPr>
      <t xml:space="preserve">, all other weight boxes will populate automatically.  Numbers/data can only be inserted into the “white cells”. 
</t>
    </r>
    <r>
      <rPr>
        <b/>
        <sz val="11"/>
        <color rgb="FFED4949"/>
        <rFont val="Calibri"/>
        <family val="2"/>
      </rPr>
      <t>Box A</t>
    </r>
    <r>
      <rPr>
        <sz val="11"/>
        <color theme="1"/>
        <rFont val="Calibri"/>
        <family val="2"/>
      </rPr>
      <t xml:space="preserve"> is the NEW NAC 3% /dosing followed correctly 
</t>
    </r>
    <r>
      <rPr>
        <b/>
        <sz val="11"/>
        <color rgb="FFED4949"/>
        <rFont val="Calibri"/>
        <family val="2"/>
      </rPr>
      <t>BOX B</t>
    </r>
    <r>
      <rPr>
        <sz val="11"/>
        <color theme="1"/>
        <rFont val="Calibri"/>
        <family val="2"/>
      </rPr>
      <t xml:space="preserve"> is NAC 3% Typical and HR NAC followed correctly. Insert the number of hours at each stage.  4 for the Bolus, 8 or more if Typical NAC or a combination of Typical and High Risk NAC which should have been given. 
</t>
    </r>
    <r>
      <rPr>
        <b/>
        <sz val="11"/>
        <color rgb="FFED4949"/>
        <rFont val="Calibri"/>
        <family val="2"/>
      </rPr>
      <t>BOX C</t>
    </r>
    <r>
      <rPr>
        <sz val="11"/>
        <color theme="1"/>
        <rFont val="Calibri"/>
        <family val="2"/>
      </rPr>
      <t xml:space="preserve"> is the alternate  - what the pt actually received. Insert the number of hours the pt received NAC at each stage 
** see Diagram 1 for an example.  2.2 hours of NAC 3% Bolus, followed by 14.8 hours of HR dosing followed by 6 hours of Typical NAC 
</t>
    </r>
    <r>
      <rPr>
        <b/>
        <sz val="11"/>
        <color rgb="FFED4949"/>
        <rFont val="Calibri"/>
        <family val="2"/>
      </rPr>
      <t>BOX D</t>
    </r>
    <r>
      <rPr>
        <sz val="11"/>
        <color theme="1"/>
        <rFont val="Calibri"/>
        <family val="2"/>
      </rPr>
      <t xml:space="preserve"> is the 21 hour NAC protocol. Insert the number of hours the pt received of each stage. 
See Diagram 2 for more information how this protocol is run.
The 21 hour NAC protocol can be found within the 1SPI Folder: "Documents-&gt;1Protocols  Feb 2023 -&gt;Acetaminophen_Old -&gt;Acetaminophen_NAC dosing.pdf"
https://sickkidsca.sharepoint.com/:b:/r/sites/OntarioPoisonCentreWorkspace-1StaffResourcesUnderConstruction/Shared%20Documents/1Protocols%20Feb%202023/Acetaminophen_OLD/Acetaminophen_NAC%20dosing.pdf?csf=1&amp;web=1&amp;e=NQXDfU</t>
    </r>
  </si>
  <si>
    <t>Patient weight in kg</t>
  </si>
  <si>
    <t>Number of hours of IV 3% NAC BOLUS received</t>
  </si>
  <si>
    <r>
      <t xml:space="preserve">Amount of IV 3% NAC BOLUS received in mg </t>
    </r>
    <r>
      <rPr>
        <b/>
        <sz val="12"/>
        <color theme="9"/>
        <rFont val="Calibri"/>
        <family val="2"/>
      </rPr>
      <t>(150 mg/kg/over 1 hour)</t>
    </r>
  </si>
  <si>
    <t>mg</t>
  </si>
  <si>
    <t>Amount of IV 3% NAC BOLUS received in mg /kg</t>
  </si>
  <si>
    <t>mg/kg</t>
  </si>
  <si>
    <t>Amount of IV 3% New NAC dosing received in hours</t>
  </si>
  <si>
    <r>
      <t xml:space="preserve">Amount of IV 3%  NEW NAC received in mg </t>
    </r>
    <r>
      <rPr>
        <b/>
        <sz val="12"/>
        <color theme="5"/>
        <rFont val="Calibri"/>
        <family val="2"/>
      </rPr>
      <t xml:space="preserve">(15 mg/kg/hour) </t>
    </r>
  </si>
  <si>
    <t>Amount of IV 3% NEW NAC dosing received in mg/kg</t>
  </si>
  <si>
    <t xml:space="preserve">Total number of hours IV 3% NAC received </t>
  </si>
  <si>
    <t>TOTAL HOURS</t>
  </si>
  <si>
    <t>Total amount of  IV 3% NAC received in mg</t>
  </si>
  <si>
    <t>Amount of  IV 3% NAC recived in mg/kg</t>
  </si>
  <si>
    <r>
      <rPr>
        <b/>
        <sz val="16"/>
        <color rgb="FFFF0000"/>
        <rFont val="Calibri"/>
        <family val="2"/>
      </rPr>
      <t>Box B.</t>
    </r>
    <r>
      <rPr>
        <b/>
        <sz val="16"/>
        <color theme="4"/>
        <rFont val="Calibri"/>
        <family val="2"/>
      </rPr>
      <t xml:space="preserve"> </t>
    </r>
    <r>
      <rPr>
        <b/>
        <sz val="16"/>
        <color theme="8" tint="-0.249977111117893"/>
        <rFont val="Calibri"/>
        <family val="2"/>
      </rPr>
      <t xml:space="preserve">NAC 3% Typical &amp; High Risk Calculation IF Followed Correctly </t>
    </r>
  </si>
  <si>
    <r>
      <rPr>
        <b/>
        <sz val="15"/>
        <color rgb="FFFF0000"/>
        <rFont val="Calibri"/>
        <family val="2"/>
      </rPr>
      <t xml:space="preserve">Box C. </t>
    </r>
    <r>
      <rPr>
        <b/>
        <sz val="15"/>
        <color theme="8" tint="-0.249977111117893"/>
        <rFont val="Calibri"/>
        <family val="2"/>
      </rPr>
      <t xml:space="preserve">NAC 3% Typical &amp; High Risk Calculation for the Amount the </t>
    </r>
    <r>
      <rPr>
        <b/>
        <sz val="15"/>
        <color theme="5"/>
        <rFont val="Calibri"/>
        <family val="2"/>
      </rPr>
      <t xml:space="preserve">Pt Received </t>
    </r>
  </si>
  <si>
    <t>Number of Hours of IV 3% NAC BOLUS received</t>
  </si>
  <si>
    <t xml:space="preserve">Amount of IV 3% NAC BOLUS received in mg </t>
  </si>
  <si>
    <t>Amount of IV 3% NAC BOLUS received in mg/kg</t>
  </si>
  <si>
    <t>Amount of IV 3% TYPICAL dosing received in hours</t>
  </si>
  <si>
    <r>
      <t xml:space="preserve">Amount of IV 3% TYPICAL dosing received in mg </t>
    </r>
    <r>
      <rPr>
        <b/>
        <sz val="12"/>
        <color theme="5"/>
        <rFont val="Calibri"/>
        <family val="2"/>
      </rPr>
      <t xml:space="preserve">(6 mg/kg/hour) </t>
    </r>
  </si>
  <si>
    <t>Amount of IV 3% TYPICAL dosing received in mg/kg</t>
  </si>
  <si>
    <t>Number of Hours of IV 3% HIGH RISK NAC received</t>
  </si>
  <si>
    <r>
      <t xml:space="preserve">Number of Hours of IV 3% HIGH RISK NAC received in mg </t>
    </r>
    <r>
      <rPr>
        <b/>
        <sz val="12"/>
        <color rgb="FFFF0000"/>
        <rFont val="Calibri"/>
        <family val="2"/>
      </rPr>
      <t>(12 mg/kg/hour)</t>
    </r>
  </si>
  <si>
    <t>Number of Hours of IV 3% HIGH RISK NAC received in mg/kg</t>
  </si>
  <si>
    <r>
      <rPr>
        <b/>
        <sz val="22"/>
        <color rgb="FFFF0000"/>
        <rFont val="Calibri"/>
        <family val="2"/>
      </rPr>
      <t>Box D.</t>
    </r>
    <r>
      <rPr>
        <b/>
        <sz val="22"/>
        <color theme="4"/>
        <rFont val="Calibri"/>
        <family val="2"/>
      </rPr>
      <t xml:space="preserve"> </t>
    </r>
    <r>
      <rPr>
        <b/>
        <sz val="22"/>
        <color theme="8" tint="-0.249977111117893"/>
        <rFont val="Calibri"/>
        <family val="2"/>
      </rPr>
      <t>21 Hour NAC PROTOCOL for COMPARISON</t>
    </r>
  </si>
  <si>
    <t>Pt weight in kg</t>
  </si>
  <si>
    <r>
      <t xml:space="preserve">Number of Hours of NAC Bag 1 </t>
    </r>
    <r>
      <rPr>
        <b/>
        <sz val="12"/>
        <color theme="9"/>
        <rFont val="Calibri"/>
        <family val="2"/>
      </rPr>
      <t xml:space="preserve">ACTUALLY received </t>
    </r>
  </si>
  <si>
    <r>
      <t xml:space="preserve">NAC bag 1 @ 150 mg/kg/over </t>
    </r>
    <r>
      <rPr>
        <b/>
        <sz val="12"/>
        <color theme="9"/>
        <rFont val="Calibri"/>
        <family val="2"/>
      </rPr>
      <t>1 hour;</t>
    </r>
    <r>
      <rPr>
        <b/>
        <sz val="12"/>
        <color rgb="FFFF0000"/>
        <rFont val="Calibri"/>
        <family val="2"/>
      </rPr>
      <t xml:space="preserve"> </t>
    </r>
    <r>
      <rPr>
        <sz val="12"/>
        <color theme="9"/>
        <rFont val="Calibri"/>
        <family val="2"/>
      </rPr>
      <t xml:space="preserve">total Bag 1 dose </t>
    </r>
    <r>
      <rPr>
        <b/>
        <sz val="12"/>
        <color theme="9"/>
        <rFont val="Calibri"/>
        <family val="2"/>
      </rPr>
      <t>should equal</t>
    </r>
  </si>
  <si>
    <t xml:space="preserve">mg </t>
  </si>
  <si>
    <r>
      <t xml:space="preserve">NAC bag 1 dose </t>
    </r>
    <r>
      <rPr>
        <b/>
        <sz val="12"/>
        <color theme="9"/>
        <rFont val="Calibri"/>
        <family val="2"/>
      </rPr>
      <t>ACTUALLY received</t>
    </r>
  </si>
  <si>
    <r>
      <t xml:space="preserve">Number of Hours of NAC Bag 2 </t>
    </r>
    <r>
      <rPr>
        <b/>
        <sz val="12"/>
        <color theme="5" tint="-0.249977111117893"/>
        <rFont val="Calibri"/>
        <family val="2"/>
      </rPr>
      <t xml:space="preserve">ACTUALLY received </t>
    </r>
  </si>
  <si>
    <r>
      <t>NAC Bag 2 @ 50 mg/kg/over</t>
    </r>
    <r>
      <rPr>
        <b/>
        <sz val="12"/>
        <color theme="5" tint="-0.249977111117893"/>
        <rFont val="Calibri"/>
        <family val="2"/>
      </rPr>
      <t xml:space="preserve"> 4 hours</t>
    </r>
    <r>
      <rPr>
        <sz val="12"/>
        <color theme="5" tint="-0.249977111117893"/>
        <rFont val="Calibri"/>
        <family val="2"/>
      </rPr>
      <t xml:space="preserve">; total Bag 2 dose </t>
    </r>
    <r>
      <rPr>
        <b/>
        <sz val="12"/>
        <color theme="5" tint="-0.249977111117893"/>
        <rFont val="Calibri"/>
        <family val="2"/>
      </rPr>
      <t>should equal</t>
    </r>
  </si>
  <si>
    <r>
      <t xml:space="preserve">NAC Bag 2 in mg/kg/hour </t>
    </r>
    <r>
      <rPr>
        <b/>
        <sz val="12"/>
        <color theme="5" tint="-0.249977111117893"/>
        <rFont val="Calibri"/>
        <family val="2"/>
      </rPr>
      <t>should equal</t>
    </r>
  </si>
  <si>
    <t>mg/kg/hour</t>
  </si>
  <si>
    <r>
      <t xml:space="preserve">NAC Bag 2 total mg </t>
    </r>
    <r>
      <rPr>
        <b/>
        <sz val="12"/>
        <color theme="5" tint="-0.249977111117893"/>
        <rFont val="Calibri"/>
        <family val="2"/>
      </rPr>
      <t>ACTUALLY received</t>
    </r>
  </si>
  <si>
    <r>
      <t xml:space="preserve">Number of Hours of NAC Bag 3 </t>
    </r>
    <r>
      <rPr>
        <b/>
        <sz val="12"/>
        <color theme="8"/>
        <rFont val="Calibri"/>
        <family val="2"/>
      </rPr>
      <t>ACTUALLY</t>
    </r>
    <r>
      <rPr>
        <sz val="12"/>
        <color theme="8"/>
        <rFont val="Calibri"/>
        <family val="2"/>
      </rPr>
      <t xml:space="preserve"> received </t>
    </r>
  </si>
  <si>
    <r>
      <t xml:space="preserve">NAC Bag 3 @ 100 mg/kg over </t>
    </r>
    <r>
      <rPr>
        <b/>
        <sz val="12"/>
        <color theme="4" tint="-0.249977111117893"/>
        <rFont val="Calibri"/>
        <family val="2"/>
      </rPr>
      <t>16 hours;</t>
    </r>
    <r>
      <rPr>
        <sz val="12"/>
        <color theme="8"/>
        <rFont val="Calibri"/>
        <family val="2"/>
      </rPr>
      <t xml:space="preserve"> total bag 3 dose </t>
    </r>
    <r>
      <rPr>
        <b/>
        <sz val="12"/>
        <color theme="8"/>
        <rFont val="Calibri"/>
        <family val="2"/>
      </rPr>
      <t>should equal</t>
    </r>
  </si>
  <si>
    <r>
      <t xml:space="preserve">NAC Bag 3 in mg/kg/hour </t>
    </r>
    <r>
      <rPr>
        <b/>
        <sz val="12"/>
        <color theme="8"/>
        <rFont val="Calibri"/>
        <family val="2"/>
      </rPr>
      <t>should equal</t>
    </r>
  </si>
  <si>
    <r>
      <t xml:space="preserve">NAC Bag 3 total mg </t>
    </r>
    <r>
      <rPr>
        <b/>
        <sz val="12"/>
        <color theme="8"/>
        <rFont val="Calibri"/>
        <family val="2"/>
      </rPr>
      <t>ACTUALLY received</t>
    </r>
  </si>
  <si>
    <t xml:space="preserve">Total hours of NAC received </t>
  </si>
  <si>
    <t>Total amount of NAC received in mg</t>
  </si>
  <si>
    <t>Total amount of NAC received in mg/kg</t>
  </si>
  <si>
    <t>Example of 60 kg person who received 2.2 hours of Bolus NAC 3%, followed by 14.8 hours of High Risk NAC, followed by 6 hours of Typical NAC, which illustrates ~ similar amounts in the 3 scenarios!</t>
  </si>
  <si>
    <t>Diagram 1</t>
  </si>
  <si>
    <t>Diagram 2</t>
  </si>
  <si>
    <t>Normal Anion Gap 6-14</t>
  </si>
  <si>
    <t>Blood Gas Analysis</t>
  </si>
  <si>
    <t>Osmolar &amp; Anion Gap Calculations</t>
  </si>
  <si>
    <t>Serious Anion Gap &gt;18</t>
  </si>
  <si>
    <t>pH</t>
  </si>
  <si>
    <t>Serum Osmolality</t>
  </si>
  <si>
    <r>
      <t>pCO</t>
    </r>
    <r>
      <rPr>
        <vertAlign val="subscript"/>
        <sz val="11"/>
        <color theme="1"/>
        <rFont val="Calibri"/>
        <family val="2"/>
        <scheme val="minor"/>
      </rPr>
      <t>2</t>
    </r>
  </si>
  <si>
    <t>Na</t>
  </si>
  <si>
    <t>Normal Osmolar Gap &lt;10</t>
  </si>
  <si>
    <r>
      <t>HCO</t>
    </r>
    <r>
      <rPr>
        <vertAlign val="subscript"/>
        <sz val="11"/>
        <color theme="1"/>
        <rFont val="Calibri"/>
        <family val="2"/>
        <scheme val="minor"/>
      </rPr>
      <t>3</t>
    </r>
  </si>
  <si>
    <t>Cl</t>
  </si>
  <si>
    <t>Type</t>
  </si>
  <si>
    <r>
      <t>CO</t>
    </r>
    <r>
      <rPr>
        <vertAlign val="subscript"/>
        <sz val="11"/>
        <color theme="1"/>
        <rFont val="Calibri"/>
        <family val="2"/>
        <scheme val="minor"/>
      </rPr>
      <t>2</t>
    </r>
    <r>
      <rPr>
        <sz val="11"/>
        <color theme="1"/>
        <rFont val="Calibri"/>
        <family val="2"/>
        <scheme val="minor"/>
      </rPr>
      <t xml:space="preserve"> from Lytes or HCO</t>
    </r>
    <r>
      <rPr>
        <vertAlign val="subscript"/>
        <sz val="11"/>
        <color theme="1"/>
        <rFont val="Calibri"/>
        <family val="2"/>
        <scheme val="minor"/>
      </rPr>
      <t>3</t>
    </r>
  </si>
  <si>
    <t>CO2 from Lytes preferred for the calculation</t>
  </si>
  <si>
    <t>BUN</t>
  </si>
  <si>
    <t>GLU</t>
  </si>
  <si>
    <t>Calculated EtOH (x 1.25)</t>
  </si>
  <si>
    <r>
      <rPr>
        <b/>
        <sz val="11"/>
        <color rgb="FFFF0000"/>
        <rFont val="Calibri"/>
        <family val="2"/>
        <scheme val="minor"/>
      </rPr>
      <t>Remember:</t>
    </r>
    <r>
      <rPr>
        <sz val="11"/>
        <color theme="1"/>
        <rFont val="Calibri"/>
        <family val="2"/>
        <scheme val="minor"/>
      </rPr>
      <t xml:space="preserve"> If Toxic Alcohol is a concern; The patient is somewhat protected when EtOH is &gt;23 mmol/L</t>
    </r>
  </si>
  <si>
    <t>Anion Gap</t>
  </si>
  <si>
    <t>Calculated Osmolality</t>
  </si>
  <si>
    <t>Osmolar Gap</t>
  </si>
  <si>
    <t>https://discover.hubpages.com/education/Arterial-Blood-Gases-ABGs-Simplified</t>
  </si>
  <si>
    <t>Please use the drop down menus beside the units to achieve the desired unit equivalent</t>
  </si>
  <si>
    <t>Useful Links</t>
  </si>
  <si>
    <t>Lab Conversion for ASA</t>
  </si>
  <si>
    <t>Manitoba Lab Manual</t>
  </si>
  <si>
    <t>ASA Level</t>
  </si>
  <si>
    <t>Unit Lab Converter</t>
  </si>
  <si>
    <t>Therapeutic Level &lt;66 umol/L</t>
  </si>
  <si>
    <t>Therapeutic Level &lt;1.1-2.2 umol/L</t>
  </si>
  <si>
    <t>Lab Conversion for Carbamazepine/Tegretol</t>
  </si>
  <si>
    <t>Lab Conversion for Phenytoin/Dilantin</t>
  </si>
  <si>
    <t>Carbamazepine Level</t>
  </si>
  <si>
    <t>Phenytoin Level</t>
  </si>
  <si>
    <t>Therapeutic Level 17-50 umol/L</t>
  </si>
  <si>
    <t>Therapeutic Level 40-80 umol/L</t>
  </si>
  <si>
    <t>Lab Conversion for Valporic Acid/VPA/Depakote</t>
  </si>
  <si>
    <t>Lab Conversion for Methemoglobin Fraction</t>
  </si>
  <si>
    <t>Valproic Acid  Level</t>
  </si>
  <si>
    <t>MHgB</t>
  </si>
  <si>
    <t>Equals</t>
  </si>
  <si>
    <t>Fraction</t>
  </si>
  <si>
    <t>%</t>
  </si>
  <si>
    <t>Therapeutic Level 350-700 umol/L</t>
  </si>
  <si>
    <t>Therapeutic Levels &lt; 3</t>
  </si>
  <si>
    <t>PER MDX
1) Less than 3% (normal): No symptoms
2) 3% to 15%: Possibly no symptoms or slate gray cutaneous coloration
3) 15% to 30%: Cyanosis, chocolate brown blood
4) 30% to 50%: Dyspnea, headache, fatigue, dizziness, syncope and weakness; a pulse oximetry reading of approximately 85%
5) 50% to 70%: Tachypnea, metabolic acidosis, seizures, CNS depression and coma
6) Greater than 70%: Severe hypoxic symptoms; death
7) In some individuals, signs may precede symptoms.</t>
  </si>
  <si>
    <t>Lab Conversion for Carbon Monoxide Fraction</t>
  </si>
  <si>
    <t xml:space="preserve">COHb/CHGB Level </t>
  </si>
  <si>
    <t>Normal level per Protocol Nov/2024</t>
  </si>
  <si>
    <t>&lt;2.5%</t>
  </si>
  <si>
    <t xml:space="preserve">Levels per Toxinz  and referenced in  Protocol Nov/2024 </t>
  </si>
  <si>
    <t>Pregnant women</t>
  </si>
  <si>
    <t>0.4 to 2.6%</t>
  </si>
  <si>
    <t>Normal infant</t>
  </si>
  <si>
    <t>0.5 to 4.7%</t>
  </si>
  <si>
    <t>Average Adult</t>
  </si>
  <si>
    <t>1 to 5%</t>
  </si>
  <si>
    <t>Hemolytic anemia</t>
  </si>
  <si>
    <t>Up to 6%</t>
  </si>
  <si>
    <t>Cigarette smoker (one pack/day)</t>
  </si>
  <si>
    <t>3 to 7 %</t>
  </si>
  <si>
    <t>Cigarette smoker (two packs/day)</t>
  </si>
  <si>
    <t>8 to 9 %</t>
  </si>
  <si>
    <r>
      <t xml:space="preserve">Example of how to enter DATE and TIME in the box below - </t>
    </r>
    <r>
      <rPr>
        <b/>
        <sz val="12"/>
        <color theme="1"/>
        <rFont val="Calibri"/>
        <family val="2"/>
        <scheme val="minor"/>
      </rPr>
      <t>01/01/2026 06:30</t>
    </r>
  </si>
  <si>
    <t>Weight Conversions</t>
  </si>
  <si>
    <t>Time Conversions</t>
  </si>
  <si>
    <t>Sart Date &amp; Time of Ingestion</t>
  </si>
  <si>
    <t>Amount</t>
  </si>
  <si>
    <t>Converted Value</t>
  </si>
  <si>
    <t>End  Date &amp; Time of Ingestion</t>
  </si>
  <si>
    <t>oz</t>
  </si>
  <si>
    <t>g</t>
  </si>
  <si>
    <t>Start Time</t>
  </si>
  <si>
    <t>Number of Days, Hours &amp; Minutes</t>
  </si>
  <si>
    <t>Current Time</t>
  </si>
  <si>
    <t>Total # of Days</t>
  </si>
  <si>
    <t>Volume Conversions</t>
  </si>
  <si>
    <t># of Hours Since Ingestion or Labs</t>
  </si>
  <si>
    <t xml:space="preserve">Total Hours </t>
  </si>
  <si>
    <t>Time in Hours</t>
  </si>
  <si>
    <t>Time in Minutes</t>
  </si>
  <si>
    <t>https://usma.org/correct-si-metric-usage#</t>
  </si>
  <si>
    <t>Time in Seconds</t>
  </si>
  <si>
    <t># of Hours Total</t>
  </si>
  <si>
    <t>If &gt; 24 hours add, 24 to this number</t>
  </si>
  <si>
    <t>VERSION NUMBER</t>
  </si>
  <si>
    <t>DATE CREATED</t>
  </si>
  <si>
    <t>CHANGES MADE</t>
  </si>
  <si>
    <t>Program Launched</t>
  </si>
  <si>
    <t>Phenytoin, Carbamazepine added to Lab Conversions</t>
  </si>
  <si>
    <t>Useful Lab Links Added to Lab Conversions</t>
  </si>
  <si>
    <t>Therapeutic Levels added to Lab Conversions</t>
  </si>
  <si>
    <t>Menthol Calculation Added</t>
  </si>
  <si>
    <t>Benzocaine Calculation Added</t>
  </si>
  <si>
    <t>Minor Formatting Changes Made to several tabs</t>
  </si>
  <si>
    <t>Added Celecoxib to NSAIDs</t>
  </si>
  <si>
    <t>Changed NSAID tablet table to allow numbers to 1 decimal place</t>
  </si>
  <si>
    <t>Added Tea Tree Oil</t>
  </si>
  <si>
    <t>Combined Osmolar and Anion Gaps into 1 table, added Blood Gas Analysis</t>
  </si>
  <si>
    <t>Removed Password for workbook</t>
  </si>
  <si>
    <t>Added Carbon Monoxide % converversions to Lab Conversion</t>
  </si>
  <si>
    <t>Added ASA max dosing = 6500 mg</t>
  </si>
  <si>
    <t>Updated Fomepizole Tab in index to Fomepizole and Cofactors</t>
  </si>
  <si>
    <t>Updated Fomepizole and Cofactor Dosing to reflect the new protocol Nov 2021</t>
  </si>
  <si>
    <t>Reverted some information back into fomepizole dosing to include D5W and NS as diluents</t>
  </si>
  <si>
    <t>Corrected the umol/L to mmol/L in the Lab Tab for ASA</t>
  </si>
  <si>
    <t>Added Vitamin A with RAE and iu</t>
  </si>
  <si>
    <t>Added Vitamin D including liquid preparations</t>
  </si>
  <si>
    <t>Fixed ASA lab conversion, was not providing conversion, moved useful links to beside COHB, fixed ASA equivalents to cap # of mL Needed to be Toxic at 6500mg, tidied notes up</t>
  </si>
  <si>
    <t>Fixed Vitamin A RAE to iu only; mcg to iu and iu to mcg</t>
  </si>
  <si>
    <t>Fixed Vitamin D Tab index to correlate with Vitamin D Sheet and fixed the RAE to mcg</t>
  </si>
  <si>
    <t>Updated formatting and added the new Fomepizole and Leucovorin Dosing, added in Methemaglobin conversion</t>
  </si>
  <si>
    <t>Updated the Lipid Dosing sheet to comply with the new Dosing recommendation for focus on the bolus vs. infusion</t>
  </si>
  <si>
    <t>Fixed the ETOH tab which had stopped working</t>
  </si>
  <si>
    <t>Glitch fixed in Menthol calculation, typo fixed in Bismuth Calculation</t>
  </si>
  <si>
    <t xml:space="preserve">Updated Vitamin D Tab to include the new recommendations of decontamination required if  &gt; 600,000 iu </t>
  </si>
  <si>
    <t>Simplified the Vitamin A tab- iu/mcg concervion. Fixed the Bismuth information 525 mg/15 mL = 35 mg/mL, not 17.5 mg/mL. Added a Retinol Calculation. Decreased Benzocaine to 20 mg/kg as Toxic while waiting for Dr. Thompson to review</t>
  </si>
  <si>
    <t>Added NAC Comparison Calculation sheet</t>
  </si>
  <si>
    <t>Added Valproic Acid Calculation Convertion, updated the Carbon monoxide to reflect the Carbon Monoxide Protocol released Nov/2024</t>
  </si>
  <si>
    <t>Added Ferrous Bisglycinate to the IRON Calculation Tab at the request of Glennyce Sun CSPI</t>
  </si>
  <si>
    <t>Added Tab for OPC nomagram (Justin Lo's work). Added the APAP mg/dL to umol/L calculation that page. Updated NAC 2026 Dosing. Added a date and time calculation to the Unit conversions tab. Updated the NAC comparison calculator</t>
  </si>
  <si>
    <t xml:space="preserve">Changed some wording on NAC Comparison, New OPC APAP nomogram tabs to improve clarity; checked math for New NAC 2026 Dosing, New OPC APAP nomogram and NAC Comparison Calculator; corrected spelling error on Lab Converstions tab; put in min/max for nomogram hours, must be between 4-24 hrs post ingestion.  Added the dots on hr 10 of the nomogram and shifted the tables and graph around. Made the buttons on the index more uniform looking. Corrected Vitamin A/Retinol sheets.  Made the calculation tool more uniform in look and straightened the index tabs.  Removed extra "Back to Index" buttons on each sheet. Updated Supratherapeutic Ingestion toxicity on APAP according to new APAP protocol. </t>
  </si>
  <si>
    <t>Written Explanations of Formula's Used in Calculations for this Toxic Dose Calculator</t>
  </si>
  <si>
    <t>1. Example of simple calculations include the weight x the toxic dose in a particular cell  eg: C4*D4= the number</t>
  </si>
  <si>
    <t>2. Conditional Formating to set maximums that set off visual reminders = red for toxic</t>
  </si>
  <si>
    <t>3. Drop down boxes for Dose Formulatons - this is found in Data Validation and links back to this sheet</t>
  </si>
  <si>
    <t>4. Maximum Entry allowed eg: Wt categories max 100 kg - found in  Data Validation and set the rule</t>
  </si>
  <si>
    <t>5. Maximum Dosing allowed eg: 50 mg Max - found in Formula - Logical - IF and put in statement's</t>
  </si>
  <si>
    <t>6. To set hyperlink - make a box, right click and add hyperlink. May have to "set" the page 1st time.</t>
  </si>
  <si>
    <t>7. To Hide and unhide colums and rows while in HOME tab select FORMAT and look at the options in the drop down box. Need to select the area needed to be hidden first.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</si>
</sst>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000"/>
    <numFmt numFmtId="165" formatCode="0.0"/>
    <numFmt numFmtId="166" formatCode="0.000"/>
    <numFmt numFmtId="167" formatCode="0.000000"/>
    <numFmt numFmtId="168" formatCode="0.00000"/>
    <numFmt numFmtId="169" formatCode="0.0000000"/>
    <numFmt numFmtId="170" formatCode="0.00000000"/>
    <numFmt numFmtId="171" formatCode="0.00000000000"/>
    <numFmt numFmtId="172" formatCode="[$-1009]d/mmm/yy;@"/>
    <numFmt numFmtId="173" formatCode="dd\/mmm\/yyyy\ hh:mm"/>
  </numFmts>
  <fonts count="90">
    <font>
      <sz val="11"/>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0"/>
      <color rgb="FF40494F"/>
      <name val="Arial"/>
      <family val="2"/>
    </font>
    <font>
      <sz val="11"/>
      <color rgb="FF25282A"/>
      <name val="Calibri"/>
      <family val="2"/>
      <scheme val="minor"/>
    </font>
    <font>
      <b/>
      <sz val="11"/>
      <color theme="9"/>
      <name val="Calibri"/>
      <family val="2"/>
      <scheme val="minor"/>
    </font>
    <font>
      <sz val="11"/>
      <color theme="9" tint="-0.249977111117893"/>
      <name val="Calibri"/>
      <family val="2"/>
      <scheme val="minor"/>
    </font>
    <font>
      <b/>
      <sz val="11"/>
      <color rgb="FF7030A0"/>
      <name val="Calibri"/>
      <family val="2"/>
      <scheme val="minor"/>
    </font>
    <font>
      <b/>
      <sz val="11"/>
      <color theme="8"/>
      <name val="Calibri"/>
      <family val="2"/>
      <scheme val="minor"/>
    </font>
    <font>
      <sz val="11"/>
      <color theme="5"/>
      <name val="Calibri"/>
      <family val="2"/>
      <scheme val="minor"/>
    </font>
    <font>
      <b/>
      <u/>
      <sz val="11"/>
      <color theme="1"/>
      <name val="Calibri"/>
      <family val="2"/>
      <scheme val="minor"/>
    </font>
    <font>
      <u/>
      <sz val="11"/>
      <color theme="10"/>
      <name val="Calibri"/>
      <family val="2"/>
      <scheme val="minor"/>
    </font>
    <font>
      <b/>
      <sz val="11"/>
      <color theme="4" tint="-0.249977111117893"/>
      <name val="Calibri"/>
      <family val="2"/>
      <scheme val="minor"/>
    </font>
    <font>
      <sz val="9"/>
      <color rgb="FF40494F"/>
      <name val="Arial"/>
      <family val="2"/>
    </font>
    <font>
      <sz val="11"/>
      <color theme="1"/>
      <name val="Calibri"/>
      <family val="2"/>
    </font>
    <font>
      <sz val="11"/>
      <color rgb="FF7030A0"/>
      <name val="Calibri"/>
      <family val="2"/>
      <scheme val="minor"/>
    </font>
    <font>
      <b/>
      <sz val="11"/>
      <color theme="9" tint="-0.249977111117893"/>
      <name val="Calibri"/>
      <family val="2"/>
      <scheme val="minor"/>
    </font>
    <font>
      <b/>
      <sz val="11"/>
      <color theme="8" tint="-0.249977111117893"/>
      <name val="Calibri"/>
      <family val="2"/>
      <scheme val="minor"/>
    </font>
    <font>
      <sz val="10"/>
      <color theme="1"/>
      <name val="Calibri"/>
      <family val="2"/>
      <scheme val="minor"/>
    </font>
    <font>
      <sz val="10"/>
      <color rgb="FFFF0000"/>
      <name val="Calibri"/>
      <family val="2"/>
      <scheme val="minor"/>
    </font>
    <font>
      <sz val="11"/>
      <color rgb="FFFF5050"/>
      <name val="Calibri"/>
      <family val="2"/>
      <scheme val="minor"/>
    </font>
    <font>
      <b/>
      <sz val="11"/>
      <color rgb="FFFF5050"/>
      <name val="Calibri"/>
      <family val="2"/>
      <scheme val="minor"/>
    </font>
    <font>
      <vertAlign val="subscript"/>
      <sz val="11"/>
      <color theme="1"/>
      <name val="Calibri"/>
      <family val="2"/>
      <scheme val="minor"/>
    </font>
    <font>
      <sz val="7.5"/>
      <color theme="1"/>
      <name val="Calibri"/>
      <family val="2"/>
      <scheme val="minor"/>
    </font>
    <font>
      <b/>
      <sz val="7.5"/>
      <color theme="1"/>
      <name val="Calibri"/>
      <family val="2"/>
      <scheme val="minor"/>
    </font>
    <font>
      <sz val="7"/>
      <color theme="1"/>
      <name val="Arial"/>
      <family val="2"/>
    </font>
    <font>
      <sz val="11"/>
      <color rgb="FF454545"/>
      <name val="Courier New"/>
      <family val="3"/>
    </font>
    <font>
      <b/>
      <sz val="11"/>
      <color theme="5" tint="-0.249977111117893"/>
      <name val="Calibri"/>
      <family val="2"/>
      <scheme val="minor"/>
    </font>
    <font>
      <b/>
      <sz val="11"/>
      <color theme="7" tint="-0.249977111117893"/>
      <name val="Calibri"/>
      <family val="2"/>
      <scheme val="minor"/>
    </font>
    <font>
      <b/>
      <sz val="11"/>
      <color rgb="FFED4949"/>
      <name val="Calibri"/>
      <family val="2"/>
      <scheme val="minor"/>
    </font>
    <font>
      <b/>
      <sz val="11"/>
      <color theme="4"/>
      <name val="Calibri"/>
      <family val="2"/>
      <scheme val="minor"/>
    </font>
    <font>
      <b/>
      <sz val="11"/>
      <color rgb="FF333333"/>
      <name val="Calibri"/>
      <family val="2"/>
      <scheme val="minor"/>
    </font>
    <font>
      <sz val="11"/>
      <color theme="4"/>
      <name val="Calibri"/>
      <family val="2"/>
      <scheme val="minor"/>
    </font>
    <font>
      <sz val="11"/>
      <color rgb="FFC00000"/>
      <name val="Calibri"/>
      <family val="2"/>
      <scheme val="minor"/>
    </font>
    <font>
      <sz val="11"/>
      <color rgb="FF000000"/>
      <name val="Calibri"/>
      <family val="2"/>
      <scheme val="minor"/>
    </font>
    <font>
      <b/>
      <sz val="11"/>
      <color rgb="FF000000"/>
      <name val="Calibri"/>
      <family val="2"/>
      <scheme val="minor"/>
    </font>
    <font>
      <sz val="8"/>
      <name val="Calibri"/>
      <family val="2"/>
      <scheme val="minor"/>
    </font>
    <font>
      <sz val="8"/>
      <color theme="1"/>
      <name val="Calibri"/>
      <family val="2"/>
      <scheme val="minor"/>
    </font>
    <font>
      <sz val="10"/>
      <color theme="7" tint="-0.499984740745262"/>
      <name val="Calibri"/>
      <family val="2"/>
      <scheme val="minor"/>
    </font>
    <font>
      <b/>
      <sz val="10"/>
      <color theme="1"/>
      <name val="Calibri"/>
      <family val="2"/>
      <scheme val="minor"/>
    </font>
    <font>
      <b/>
      <sz val="10"/>
      <color rgb="FFFF0000"/>
      <name val="Calibri"/>
      <family val="2"/>
      <scheme val="minor"/>
    </font>
    <font>
      <sz val="11"/>
      <color theme="4" tint="-0.499984740745262"/>
      <name val="Calibri"/>
      <family val="2"/>
      <scheme val="minor"/>
    </font>
    <font>
      <sz val="12"/>
      <color rgb="FF1D2A57"/>
      <name val="Arial"/>
      <family val="2"/>
    </font>
    <font>
      <sz val="12"/>
      <color theme="1"/>
      <name val="Calibri"/>
      <family val="2"/>
    </font>
    <font>
      <b/>
      <sz val="22"/>
      <color theme="4"/>
      <name val="Calibri"/>
      <family val="2"/>
    </font>
    <font>
      <b/>
      <sz val="12"/>
      <color theme="4"/>
      <name val="Calibri"/>
      <family val="2"/>
    </font>
    <font>
      <b/>
      <sz val="12"/>
      <color theme="1"/>
      <name val="Calibri"/>
      <family val="2"/>
    </font>
    <font>
      <sz val="12"/>
      <color theme="9"/>
      <name val="Calibri"/>
      <family val="2"/>
    </font>
    <font>
      <sz val="12"/>
      <name val="Calibri"/>
      <family val="2"/>
    </font>
    <font>
      <sz val="12"/>
      <color theme="7"/>
      <name val="Calibri"/>
      <family val="2"/>
    </font>
    <font>
      <sz val="12"/>
      <color rgb="FFFF0000"/>
      <name val="Calibri"/>
      <family val="2"/>
    </font>
    <font>
      <b/>
      <sz val="12"/>
      <color rgb="FFFF0000"/>
      <name val="Calibri"/>
      <family val="2"/>
    </font>
    <font>
      <b/>
      <sz val="12"/>
      <name val="Calibri"/>
      <family val="2"/>
    </font>
    <font>
      <b/>
      <sz val="12"/>
      <color theme="8" tint="-0.249977111117893"/>
      <name val="Calibri"/>
      <family val="2"/>
    </font>
    <font>
      <b/>
      <sz val="12"/>
      <color theme="9"/>
      <name val="Calibri"/>
      <family val="2"/>
    </font>
    <font>
      <sz val="12"/>
      <color theme="8"/>
      <name val="Calibri"/>
      <family val="2"/>
    </font>
    <font>
      <b/>
      <sz val="12"/>
      <color theme="8"/>
      <name val="Calibri"/>
      <family val="2"/>
    </font>
    <font>
      <b/>
      <sz val="10"/>
      <color theme="1"/>
      <name val="Calibri"/>
      <family val="2"/>
    </font>
    <font>
      <b/>
      <sz val="12"/>
      <color theme="3"/>
      <name val="Calibri"/>
      <family val="2"/>
    </font>
    <font>
      <b/>
      <sz val="22"/>
      <color rgb="FFFF0000"/>
      <name val="Calibri"/>
      <family val="2"/>
    </font>
    <font>
      <sz val="10"/>
      <color theme="1"/>
      <name val="Calibri"/>
      <family val="2"/>
    </font>
    <font>
      <sz val="11"/>
      <color theme="1"/>
      <name val="Calibri"/>
      <family val="2"/>
      <scheme val="minor"/>
    </font>
    <font>
      <b/>
      <sz val="16"/>
      <color theme="4"/>
      <name val="Calibri"/>
      <family val="2"/>
    </font>
    <font>
      <b/>
      <sz val="16"/>
      <color rgb="FFFF0000"/>
      <name val="Calibri"/>
      <family val="2"/>
    </font>
    <font>
      <b/>
      <sz val="18"/>
      <color theme="9"/>
      <name val="Calibri"/>
      <family val="2"/>
    </font>
    <font>
      <sz val="12"/>
      <color theme="5"/>
      <name val="Calibri"/>
      <family val="2"/>
    </font>
    <font>
      <b/>
      <sz val="12"/>
      <color theme="5"/>
      <name val="Calibri"/>
      <family val="2"/>
    </font>
    <font>
      <b/>
      <sz val="11"/>
      <color rgb="FFED4949"/>
      <name val="Calibri"/>
      <family val="2"/>
    </font>
    <font>
      <b/>
      <sz val="12"/>
      <color theme="1"/>
      <name val="Calibri"/>
      <family val="2"/>
      <scheme val="minor"/>
    </font>
    <font>
      <b/>
      <sz val="16"/>
      <color theme="1" tint="0.499984740745262"/>
      <name val="Calibri"/>
      <family val="2"/>
      <scheme val="minor"/>
    </font>
    <font>
      <b/>
      <sz val="18"/>
      <color rgb="FFFF0000"/>
      <name val="Calibri"/>
      <family val="2"/>
    </font>
    <font>
      <sz val="12"/>
      <color theme="5" tint="-0.249977111117893"/>
      <name val="Calibri"/>
      <family val="2"/>
    </font>
    <font>
      <b/>
      <sz val="12"/>
      <color theme="5" tint="-0.249977111117893"/>
      <name val="Calibri"/>
      <family val="2"/>
    </font>
    <font>
      <b/>
      <sz val="12"/>
      <color theme="4" tint="-0.249977111117893"/>
      <name val="Calibri"/>
      <family val="2"/>
    </font>
    <font>
      <sz val="10"/>
      <name val="Calibri"/>
      <family val="2"/>
      <scheme val="minor"/>
    </font>
    <font>
      <sz val="11"/>
      <color theme="8" tint="-0.249977111117893"/>
      <name val="Calibri"/>
      <family val="2"/>
      <scheme val="minor"/>
    </font>
    <font>
      <sz val="9"/>
      <name val="Calibri"/>
      <family val="2"/>
      <scheme val="minor"/>
    </font>
    <font>
      <b/>
      <sz val="18"/>
      <color theme="8" tint="-0.249977111117893"/>
      <name val="Calibri"/>
      <family val="2"/>
    </font>
    <font>
      <b/>
      <sz val="18"/>
      <color theme="8" tint="-0.249977111117893"/>
      <name val="Calibri"/>
      <family val="2"/>
      <scheme val="minor"/>
    </font>
    <font>
      <b/>
      <sz val="16"/>
      <color theme="8" tint="-0.249977111117893"/>
      <name val="Calibri"/>
      <family val="2"/>
    </font>
    <font>
      <b/>
      <sz val="15"/>
      <color theme="4"/>
      <name val="Calibri"/>
      <family val="2"/>
    </font>
    <font>
      <b/>
      <sz val="15"/>
      <color rgb="FFFF0000"/>
      <name val="Calibri"/>
      <family val="2"/>
    </font>
    <font>
      <b/>
      <sz val="15"/>
      <color theme="5"/>
      <name val="Calibri"/>
      <family val="2"/>
    </font>
    <font>
      <b/>
      <sz val="15"/>
      <color theme="8" tint="-0.249977111117893"/>
      <name val="Calibri"/>
      <family val="2"/>
    </font>
    <font>
      <b/>
      <sz val="22"/>
      <color theme="8" tint="-0.249977111117893"/>
      <name val="Calibri"/>
      <family val="2"/>
    </font>
    <font>
      <b/>
      <sz val="14"/>
      <color theme="1"/>
      <name val="Calibri"/>
      <family val="2"/>
      <scheme val="minor"/>
    </font>
    <font>
      <sz val="14"/>
      <color theme="1"/>
      <name val="Calibri"/>
      <family val="2"/>
      <scheme val="minor"/>
    </font>
  </fonts>
  <fills count="2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9" tint="0.399975585192419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ECD9FF"/>
        <bgColor indexed="64"/>
      </patternFill>
    </fill>
    <fill>
      <patternFill patternType="solid">
        <fgColor rgb="FFCC99FF"/>
        <bgColor indexed="64"/>
      </patternFill>
    </fill>
    <fill>
      <patternFill patternType="solid">
        <fgColor theme="0" tint="-4.9989318521683403E-2"/>
        <bgColor indexed="64"/>
      </patternFill>
    </fill>
    <fill>
      <patternFill patternType="solid">
        <fgColor rgb="FFFF9999"/>
        <bgColor indexed="64"/>
      </patternFill>
    </fill>
    <fill>
      <patternFill patternType="solid">
        <fgColor rgb="FFFFFFFF"/>
        <bgColor rgb="FF000000"/>
      </patternFill>
    </fill>
    <fill>
      <patternFill patternType="solid">
        <fgColor rgb="FFEDEDED"/>
        <bgColor rgb="FF000000"/>
      </patternFill>
    </fill>
    <fill>
      <patternFill patternType="solid">
        <fgColor rgb="FFFFFFFF"/>
        <bgColor indexed="64"/>
      </patternFill>
    </fill>
    <fill>
      <patternFill patternType="solid">
        <fgColor rgb="FFFFFF00"/>
        <bgColor indexed="64"/>
      </patternFill>
    </fill>
    <fill>
      <patternFill patternType="solid">
        <fgColor theme="5" tint="0.79998168889431442"/>
        <bgColor rgb="FF000000"/>
      </patternFill>
    </fill>
  </fills>
  <borders count="17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7030A0"/>
      </left>
      <right style="medium">
        <color rgb="FF7030A0"/>
      </right>
      <top style="medium">
        <color rgb="FF7030A0"/>
      </top>
      <bottom style="medium">
        <color rgb="FF7030A0"/>
      </bottom>
      <diagonal/>
    </border>
    <border>
      <left style="medium">
        <color theme="5"/>
      </left>
      <right style="medium">
        <color theme="5"/>
      </right>
      <top style="medium">
        <color theme="5"/>
      </top>
      <bottom style="medium">
        <color theme="5"/>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top/>
      <bottom style="medium">
        <color theme="9" tint="0.39997558519241921"/>
      </bottom>
      <diagonal/>
    </border>
    <border>
      <left style="thin">
        <color theme="9" tint="0.39997558519241921"/>
      </left>
      <right style="thin">
        <color theme="9" tint="0.39997558519241921"/>
      </right>
      <top/>
      <bottom style="thin">
        <color theme="9" tint="0.39997558519241921"/>
      </bottom>
      <diagonal/>
    </border>
    <border>
      <left/>
      <right style="medium">
        <color theme="9" tint="0.39997558519241921"/>
      </right>
      <top/>
      <bottom/>
      <diagonal/>
    </border>
    <border>
      <left style="medium">
        <color theme="9" tint="0.39997558519241921"/>
      </left>
      <right style="medium">
        <color theme="9" tint="0.39997558519241921"/>
      </right>
      <top style="medium">
        <color theme="9" tint="0.39997558519241921"/>
      </top>
      <bottom style="medium">
        <color theme="9" tint="0.39997558519241921"/>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rgb="FF7030A0"/>
      </left>
      <right/>
      <top/>
      <bottom/>
      <diagonal/>
    </border>
    <border>
      <left style="medium">
        <color rgb="FF7030A0"/>
      </left>
      <right style="medium">
        <color rgb="FF7030A0"/>
      </right>
      <top style="medium">
        <color rgb="FF7030A0"/>
      </top>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
      <left/>
      <right style="medium">
        <color theme="5"/>
      </right>
      <top/>
      <bottom/>
      <diagonal/>
    </border>
    <border>
      <left/>
      <right style="medium">
        <color theme="9"/>
      </right>
      <top/>
      <bottom/>
      <diagonal/>
    </border>
    <border>
      <left style="medium">
        <color theme="5"/>
      </left>
      <right style="medium">
        <color indexed="64"/>
      </right>
      <top/>
      <bottom/>
      <diagonal/>
    </border>
    <border>
      <left/>
      <right/>
      <top style="medium">
        <color theme="4"/>
      </top>
      <bottom/>
      <diagonal/>
    </border>
    <border>
      <left style="medium">
        <color theme="4"/>
      </left>
      <right/>
      <top/>
      <bottom style="medium">
        <color theme="4"/>
      </bottom>
      <diagonal/>
    </border>
    <border>
      <left/>
      <right style="medium">
        <color theme="4"/>
      </right>
      <top style="medium">
        <color theme="4"/>
      </top>
      <bottom/>
      <diagonal/>
    </border>
    <border>
      <left/>
      <right style="medium">
        <color theme="4"/>
      </right>
      <top/>
      <bottom style="medium">
        <color theme="4"/>
      </bottom>
      <diagonal/>
    </border>
    <border>
      <left style="medium">
        <color theme="7"/>
      </left>
      <right style="medium">
        <color theme="7"/>
      </right>
      <top style="medium">
        <color theme="7"/>
      </top>
      <bottom style="medium">
        <color theme="7"/>
      </bottom>
      <diagonal/>
    </border>
    <border>
      <left style="medium">
        <color indexed="64"/>
      </left>
      <right style="medium">
        <color indexed="64"/>
      </right>
      <top style="medium">
        <color indexed="64"/>
      </top>
      <bottom style="medium">
        <color indexed="64"/>
      </bottom>
      <diagonal/>
    </border>
    <border>
      <left style="medium">
        <color theme="8" tint="-0.249977111117893"/>
      </left>
      <right style="medium">
        <color theme="8" tint="-0.249977111117893"/>
      </right>
      <top style="medium">
        <color theme="8" tint="-0.249977111117893"/>
      </top>
      <bottom style="medium">
        <color theme="8" tint="-0.249977111117893"/>
      </bottom>
      <diagonal/>
    </border>
    <border>
      <left style="medium">
        <color theme="8" tint="-0.249977111117893"/>
      </left>
      <right/>
      <top style="medium">
        <color theme="8" tint="-0.249977111117893"/>
      </top>
      <bottom style="medium">
        <color theme="8" tint="-0.249977111117893"/>
      </bottom>
      <diagonal/>
    </border>
    <border>
      <left/>
      <right style="medium">
        <color theme="8" tint="-0.249977111117893"/>
      </right>
      <top style="medium">
        <color theme="8" tint="-0.249977111117893"/>
      </top>
      <bottom style="medium">
        <color theme="8" tint="-0.249977111117893"/>
      </bottom>
      <diagonal/>
    </border>
    <border>
      <left style="medium">
        <color theme="9"/>
      </left>
      <right/>
      <top style="medium">
        <color theme="9"/>
      </top>
      <bottom/>
      <diagonal/>
    </border>
    <border>
      <left/>
      <right style="medium">
        <color theme="9"/>
      </right>
      <top style="medium">
        <color theme="9"/>
      </top>
      <bottom/>
      <diagonal/>
    </border>
    <border>
      <left style="medium">
        <color rgb="FF7030A0"/>
      </left>
      <right/>
      <top/>
      <bottom style="medium">
        <color rgb="FF7030A0"/>
      </bottom>
      <diagonal/>
    </border>
    <border>
      <left style="medium">
        <color rgb="FF0070C0"/>
      </left>
      <right style="medium">
        <color rgb="FF0070C0"/>
      </right>
      <top style="medium">
        <color rgb="FF0070C0"/>
      </top>
      <bottom style="medium">
        <color rgb="FF0070C0"/>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8"/>
      </left>
      <right/>
      <top style="medium">
        <color rgb="FF0070C0"/>
      </top>
      <bottom style="medium">
        <color theme="8"/>
      </bottom>
      <diagonal/>
    </border>
    <border>
      <left/>
      <right/>
      <top style="medium">
        <color rgb="FF0070C0"/>
      </top>
      <bottom style="medium">
        <color theme="8"/>
      </bottom>
      <diagonal/>
    </border>
    <border>
      <left/>
      <right style="medium">
        <color theme="8"/>
      </right>
      <top style="medium">
        <color rgb="FF0070C0"/>
      </top>
      <bottom style="medium">
        <color theme="8"/>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style="medium">
        <color indexed="64"/>
      </right>
      <top/>
      <bottom/>
      <diagonal/>
    </border>
    <border>
      <left style="medium">
        <color rgb="FF7030A0"/>
      </left>
      <right style="medium">
        <color rgb="FF0070C0"/>
      </right>
      <top style="medium">
        <color rgb="FF7030A0"/>
      </top>
      <bottom style="medium">
        <color rgb="FF7030A0"/>
      </bottom>
      <diagonal/>
    </border>
    <border>
      <left style="medium">
        <color rgb="FF0070C0"/>
      </left>
      <right style="medium">
        <color rgb="FF0070C0"/>
      </right>
      <top style="medium">
        <color rgb="FF7030A0"/>
      </top>
      <bottom style="medium">
        <color rgb="FF7030A0"/>
      </bottom>
      <diagonal/>
    </border>
    <border>
      <left style="medium">
        <color rgb="FF0070C0"/>
      </left>
      <right style="medium">
        <color rgb="FF7030A0"/>
      </right>
      <top style="medium">
        <color rgb="FF7030A0"/>
      </top>
      <bottom style="medium">
        <color rgb="FF7030A0"/>
      </bottom>
      <diagonal/>
    </border>
    <border>
      <left/>
      <right/>
      <top style="medium">
        <color rgb="FF7030A0"/>
      </top>
      <bottom style="medium">
        <color rgb="FF7030A0"/>
      </bottom>
      <diagonal/>
    </border>
    <border>
      <left style="medium">
        <color rgb="FF0070C0"/>
      </left>
      <right style="medium">
        <color rgb="FF0070C0"/>
      </right>
      <top style="medium">
        <color theme="5"/>
      </top>
      <bottom style="medium">
        <color theme="5"/>
      </bottom>
      <diagonal/>
    </border>
    <border>
      <left style="medium">
        <color rgb="FF0070C0"/>
      </left>
      <right style="medium">
        <color theme="5"/>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diagonal/>
    </border>
    <border>
      <left style="medium">
        <color theme="5"/>
      </left>
      <right style="medium">
        <color rgb="FF0070C0"/>
      </right>
      <top style="medium">
        <color theme="5"/>
      </top>
      <bottom style="medium">
        <color theme="5"/>
      </bottom>
      <diagonal/>
    </border>
    <border>
      <left/>
      <right/>
      <top/>
      <bottom style="medium">
        <color rgb="FFFF0000"/>
      </bottom>
      <diagonal/>
    </border>
    <border>
      <left style="medium">
        <color rgb="FFFF0000"/>
      </left>
      <right style="medium">
        <color rgb="FFFF0000"/>
      </right>
      <top style="medium">
        <color rgb="FFFF0000"/>
      </top>
      <bottom style="medium">
        <color rgb="FFFF0000"/>
      </bottom>
      <diagonal/>
    </border>
    <border>
      <left/>
      <right/>
      <top style="medium">
        <color theme="5"/>
      </top>
      <bottom/>
      <diagonal/>
    </border>
    <border>
      <left style="medium">
        <color rgb="FFED7D31"/>
      </left>
      <right style="medium">
        <color rgb="FFED7D31"/>
      </right>
      <top style="medium">
        <color rgb="FFED7D31"/>
      </top>
      <bottom style="medium">
        <color rgb="FFED7D31"/>
      </bottom>
      <diagonal/>
    </border>
    <border>
      <left style="medium">
        <color rgb="FFED7D31"/>
      </left>
      <right/>
      <top style="medium">
        <color rgb="FFED7D31"/>
      </top>
      <bottom style="medium">
        <color rgb="FFED7D31"/>
      </bottom>
      <diagonal/>
    </border>
    <border>
      <left/>
      <right style="medium">
        <color rgb="FFED7D31"/>
      </right>
      <top style="medium">
        <color rgb="FFED7D31"/>
      </top>
      <bottom style="medium">
        <color rgb="FFED7D31"/>
      </bottom>
      <diagonal/>
    </border>
    <border>
      <left style="medium">
        <color theme="9"/>
      </left>
      <right/>
      <top/>
      <bottom/>
      <diagonal/>
    </border>
    <border>
      <left/>
      <right/>
      <top/>
      <bottom style="medium">
        <color theme="9"/>
      </bottom>
      <diagonal/>
    </border>
    <border>
      <left style="medium">
        <color rgb="FF00B0F0"/>
      </left>
      <right style="medium">
        <color rgb="FF00B0F0"/>
      </right>
      <top style="medium">
        <color rgb="FF00B0F0"/>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right/>
      <top style="medium">
        <color rgb="FFFF0000"/>
      </top>
      <bottom/>
      <diagonal/>
    </border>
    <border>
      <left style="medium">
        <color rgb="FFFF0000"/>
      </left>
      <right/>
      <top/>
      <bottom/>
      <diagonal/>
    </border>
    <border>
      <left style="medium">
        <color rgb="FFFF0000"/>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theme="4"/>
      </left>
      <right/>
      <top style="medium">
        <color theme="4"/>
      </top>
      <bottom/>
      <diagonal/>
    </border>
    <border>
      <left style="medium">
        <color rgb="FF002060"/>
      </left>
      <right style="medium">
        <color rgb="FF002060"/>
      </right>
      <top style="medium">
        <color rgb="FF002060"/>
      </top>
      <bottom style="medium">
        <color rgb="FF002060"/>
      </bottom>
      <diagonal/>
    </border>
    <border>
      <left/>
      <right/>
      <top/>
      <bottom style="medium">
        <color theme="4"/>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3" tint="0.24994659260841701"/>
      </right>
      <top style="medium">
        <color theme="3" tint="0.24994659260841701"/>
      </top>
      <bottom style="thin">
        <color theme="3" tint="0.24994659260841701"/>
      </bottom>
      <diagonal/>
    </border>
    <border>
      <left style="thin">
        <color theme="3" tint="0.24994659260841701"/>
      </left>
      <right style="medium">
        <color theme="1" tint="0.499984740745262"/>
      </right>
      <top style="medium">
        <color theme="3" tint="0.24994659260841701"/>
      </top>
      <bottom style="thin">
        <color theme="3" tint="0.24994659260841701"/>
      </bottom>
      <diagonal/>
    </border>
    <border>
      <left style="medium">
        <color theme="1" tint="0.499984740745262"/>
      </left>
      <right style="thin">
        <color theme="3" tint="0.24994659260841701"/>
      </right>
      <top style="thin">
        <color theme="3" tint="0.24994659260841701"/>
      </top>
      <bottom style="thin">
        <color theme="3" tint="0.24994659260841701"/>
      </bottom>
      <diagonal/>
    </border>
    <border>
      <left style="thin">
        <color theme="3" tint="0.24994659260841701"/>
      </left>
      <right style="medium">
        <color theme="1" tint="0.499984740745262"/>
      </right>
      <top style="thin">
        <color theme="3" tint="0.24994659260841701"/>
      </top>
      <bottom style="thin">
        <color theme="3" tint="0.24994659260841701"/>
      </bottom>
      <diagonal/>
    </border>
    <border>
      <left style="medium">
        <color theme="1" tint="0.499984740745262"/>
      </left>
      <right style="thin">
        <color theme="3" tint="0.24994659260841701"/>
      </right>
      <top style="thin">
        <color theme="3" tint="0.24994659260841701"/>
      </top>
      <bottom style="medium">
        <color theme="1" tint="0.499984740745262"/>
      </bottom>
      <diagonal/>
    </border>
    <border>
      <left style="thin">
        <color theme="3" tint="0.24994659260841701"/>
      </left>
      <right style="medium">
        <color theme="1" tint="0.499984740745262"/>
      </right>
      <top style="thin">
        <color theme="3" tint="0.24994659260841701"/>
      </top>
      <bottom style="medium">
        <color theme="1" tint="0.499984740745262"/>
      </bottom>
      <diagonal/>
    </border>
    <border>
      <left style="medium">
        <color theme="1" tint="0.499984740745262"/>
      </left>
      <right/>
      <top/>
      <bottom style="medium">
        <color theme="3" tint="0.24994659260841701"/>
      </bottom>
      <diagonal/>
    </border>
    <border>
      <left/>
      <right style="medium">
        <color theme="1" tint="0.499984740745262"/>
      </right>
      <top/>
      <bottom style="medium">
        <color theme="3"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right>
      <top style="medium">
        <color theme="9" tint="-0.249977111117893"/>
      </top>
      <bottom style="medium">
        <color theme="9" tint="-0.249977111117893"/>
      </bottom>
      <diagonal/>
    </border>
    <border>
      <left style="medium">
        <color theme="9"/>
      </left>
      <right style="medium">
        <color theme="9" tint="-0.249977111117893"/>
      </right>
      <top style="medium">
        <color theme="9" tint="-0.249977111117893"/>
      </top>
      <bottom style="medium">
        <color theme="9" tint="-0.249977111117893"/>
      </bottom>
      <diagonal/>
    </border>
    <border>
      <left style="medium">
        <color theme="9" tint="-0.249977111117893"/>
      </left>
      <right style="thin">
        <color rgb="FFE77B73"/>
      </right>
      <top style="medium">
        <color theme="9" tint="-0.249977111117893"/>
      </top>
      <bottom style="medium">
        <color theme="9" tint="-0.249977111117893"/>
      </bottom>
      <diagonal/>
    </border>
    <border>
      <left style="thin">
        <color rgb="FFE77B73"/>
      </left>
      <right style="thin">
        <color rgb="FFE77B73"/>
      </right>
      <top style="medium">
        <color theme="9" tint="-0.249977111117893"/>
      </top>
      <bottom style="medium">
        <color theme="9" tint="-0.249977111117893"/>
      </bottom>
      <diagonal/>
    </border>
    <border>
      <left style="thin">
        <color rgb="FFE77B73"/>
      </left>
      <right style="medium">
        <color theme="9" tint="-0.249977111117893"/>
      </right>
      <top style="medium">
        <color theme="9" tint="-0.249977111117893"/>
      </top>
      <bottom style="medium">
        <color theme="9" tint="-0.249977111117893"/>
      </bottom>
      <diagonal/>
    </border>
    <border>
      <left style="medium">
        <color theme="9" tint="-0.249977111117893"/>
      </left>
      <right style="thin">
        <color theme="9"/>
      </right>
      <top style="medium">
        <color theme="9" tint="-0.249977111117893"/>
      </top>
      <bottom style="medium">
        <color theme="9" tint="-0.249977111117893"/>
      </bottom>
      <diagonal/>
    </border>
    <border>
      <left style="thin">
        <color theme="9"/>
      </left>
      <right style="thin">
        <color theme="9"/>
      </right>
      <top style="medium">
        <color theme="9" tint="-0.249977111117893"/>
      </top>
      <bottom style="medium">
        <color theme="9" tint="-0.249977111117893"/>
      </bottom>
      <diagonal/>
    </border>
    <border>
      <left style="thin">
        <color theme="9"/>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rgb="FFFF7C80"/>
      </right>
      <top style="medium">
        <color theme="9" tint="-0.249977111117893"/>
      </top>
      <bottom style="medium">
        <color theme="9" tint="-0.249977111117893"/>
      </bottom>
      <diagonal/>
    </border>
    <border>
      <left style="medium">
        <color rgb="FFFF7C80"/>
      </left>
      <right style="medium">
        <color theme="9" tint="-0.249977111117893"/>
      </right>
      <top style="medium">
        <color theme="9" tint="-0.249977111117893"/>
      </top>
      <bottom style="medium">
        <color theme="9" tint="-0.249977111117893"/>
      </bottom>
      <diagonal/>
    </border>
    <border>
      <left style="medium">
        <color theme="9" tint="-0.249977111117893"/>
      </left>
      <right style="thin">
        <color theme="4" tint="-0.249977111117893"/>
      </right>
      <top style="medium">
        <color theme="9" tint="-0.249977111117893"/>
      </top>
      <bottom style="medium">
        <color theme="9" tint="-0.249977111117893"/>
      </bottom>
      <diagonal/>
    </border>
    <border>
      <left style="thin">
        <color theme="4" tint="-0.249977111117893"/>
      </left>
      <right style="medium">
        <color theme="9" tint="-0.249977111117893"/>
      </right>
      <top style="medium">
        <color theme="9" tint="-0.249977111117893"/>
      </top>
      <bottom style="medium">
        <color theme="9" tint="-0.249977111117893"/>
      </bottom>
      <diagonal/>
    </border>
    <border>
      <left style="medium">
        <color theme="8" tint="-0.249977111117893"/>
      </left>
      <right/>
      <top style="medium">
        <color theme="8" tint="-0.249977111117893"/>
      </top>
      <bottom/>
      <diagonal/>
    </border>
    <border>
      <left/>
      <right/>
      <top style="medium">
        <color theme="8" tint="-0.249977111117893"/>
      </top>
      <bottom/>
      <diagonal/>
    </border>
    <border>
      <left/>
      <right style="medium">
        <color theme="8" tint="-0.249977111117893"/>
      </right>
      <top style="medium">
        <color theme="8" tint="-0.249977111117893"/>
      </top>
      <bottom/>
      <diagonal/>
    </border>
    <border>
      <left style="medium">
        <color theme="8" tint="-0.249977111117893"/>
      </left>
      <right/>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right/>
      <top/>
      <bottom style="medium">
        <color theme="8" tint="-0.249977111117893"/>
      </bottom>
      <diagonal/>
    </border>
    <border>
      <left/>
      <right style="medium">
        <color theme="8" tint="-0.249977111117893"/>
      </right>
      <top/>
      <bottom style="medium">
        <color theme="8" tint="-0.249977111117893"/>
      </bottom>
      <diagonal/>
    </border>
    <border>
      <left style="medium">
        <color indexed="64"/>
      </left>
      <right/>
      <top style="medium">
        <color indexed="64"/>
      </top>
      <bottom style="medium">
        <color theme="8" tint="-0.249977111117893"/>
      </bottom>
      <diagonal/>
    </border>
    <border>
      <left/>
      <right style="medium">
        <color indexed="64"/>
      </right>
      <top style="medium">
        <color indexed="64"/>
      </top>
      <bottom style="medium">
        <color theme="8" tint="-0.249977111117893"/>
      </bottom>
      <diagonal/>
    </border>
    <border>
      <left style="thin">
        <color indexed="64"/>
      </left>
      <right style="thin">
        <color indexed="64"/>
      </right>
      <top/>
      <bottom style="thin">
        <color indexed="64"/>
      </bottom>
      <diagonal/>
    </border>
    <border>
      <left style="medium">
        <color theme="8" tint="-0.249977111117893"/>
      </left>
      <right style="medium">
        <color rgb="FF7030A0"/>
      </right>
      <top style="medium">
        <color theme="8" tint="-0.249977111117893"/>
      </top>
      <bottom style="medium">
        <color theme="8" tint="-0.249977111117893"/>
      </bottom>
      <diagonal/>
    </border>
    <border>
      <left style="medium">
        <color rgb="FF7030A0"/>
      </left>
      <right style="medium">
        <color theme="8" tint="-0.249977111117893"/>
      </right>
      <top style="medium">
        <color theme="8" tint="-0.249977111117893"/>
      </top>
      <bottom style="medium">
        <color theme="8" tint="-0.249977111117893"/>
      </bottom>
      <diagonal/>
    </border>
    <border>
      <left style="medium">
        <color theme="8" tint="-0.249977111117893"/>
      </left>
      <right style="thin">
        <color indexed="64"/>
      </right>
      <top style="medium">
        <color theme="8" tint="-0.249977111117893"/>
      </top>
      <bottom/>
      <diagonal/>
    </border>
    <border>
      <left style="thin">
        <color indexed="64"/>
      </left>
      <right style="thin">
        <color indexed="64"/>
      </right>
      <top style="medium">
        <color theme="8" tint="-0.249977111117893"/>
      </top>
      <bottom/>
      <diagonal/>
    </border>
    <border>
      <left style="thin">
        <color indexed="64"/>
      </left>
      <right style="medium">
        <color theme="8" tint="-0.249977111117893"/>
      </right>
      <top style="medium">
        <color theme="8" tint="-0.249977111117893"/>
      </top>
      <bottom/>
      <diagonal/>
    </border>
    <border>
      <left style="medium">
        <color theme="8" tint="-0.249977111117893"/>
      </left>
      <right style="thin">
        <color indexed="64"/>
      </right>
      <top/>
      <bottom style="thin">
        <color indexed="64"/>
      </bottom>
      <diagonal/>
    </border>
    <border>
      <left style="thin">
        <color indexed="64"/>
      </left>
      <right style="medium">
        <color theme="8" tint="-0.249977111117893"/>
      </right>
      <top/>
      <bottom style="thin">
        <color indexed="64"/>
      </bottom>
      <diagonal/>
    </border>
    <border>
      <left style="medium">
        <color theme="8" tint="-0.249977111117893"/>
      </left>
      <right style="thin">
        <color indexed="64"/>
      </right>
      <top style="thin">
        <color indexed="64"/>
      </top>
      <bottom style="medium">
        <color theme="8" tint="-0.249977111117893"/>
      </bottom>
      <diagonal/>
    </border>
    <border>
      <left/>
      <right/>
      <top style="thin">
        <color indexed="64"/>
      </top>
      <bottom style="medium">
        <color theme="8" tint="-0.249977111117893"/>
      </bottom>
      <diagonal/>
    </border>
    <border>
      <left style="thin">
        <color indexed="64"/>
      </left>
      <right style="medium">
        <color theme="8" tint="-0.249977111117893"/>
      </right>
      <top style="thin">
        <color indexed="64"/>
      </top>
      <bottom style="medium">
        <color theme="8" tint="-0.249977111117893"/>
      </bottom>
      <diagonal/>
    </border>
    <border>
      <left style="medium">
        <color theme="8" tint="-0.249977111117893"/>
      </left>
      <right/>
      <top style="medium">
        <color theme="8" tint="-0.249977111117893"/>
      </top>
      <bottom style="thin">
        <color indexed="64"/>
      </bottom>
      <diagonal/>
    </border>
    <border>
      <left/>
      <right/>
      <top style="medium">
        <color theme="8" tint="-0.249977111117893"/>
      </top>
      <bottom style="thin">
        <color indexed="64"/>
      </bottom>
      <diagonal/>
    </border>
    <border>
      <left/>
      <right style="medium">
        <color theme="8" tint="-0.249977111117893"/>
      </right>
      <top style="medium">
        <color theme="8" tint="-0.249977111117893"/>
      </top>
      <bottom style="thin">
        <color indexed="64"/>
      </bottom>
      <diagonal/>
    </border>
    <border>
      <left style="medium">
        <color theme="8" tint="-0.249977111117893"/>
      </left>
      <right/>
      <top style="thin">
        <color indexed="64"/>
      </top>
      <bottom style="thin">
        <color indexed="64"/>
      </bottom>
      <diagonal/>
    </border>
    <border>
      <left/>
      <right style="medium">
        <color theme="8" tint="-0.249977111117893"/>
      </right>
      <top style="thin">
        <color indexed="64"/>
      </top>
      <bottom style="thin">
        <color indexed="64"/>
      </bottom>
      <diagonal/>
    </border>
    <border>
      <left style="medium">
        <color theme="8" tint="-0.249977111117893"/>
      </left>
      <right/>
      <top style="thin">
        <color indexed="64"/>
      </top>
      <bottom style="medium">
        <color theme="8" tint="-0.249977111117893"/>
      </bottom>
      <diagonal/>
    </border>
    <border>
      <left/>
      <right style="medium">
        <color theme="8" tint="-0.249977111117893"/>
      </right>
      <top style="thin">
        <color indexed="64"/>
      </top>
      <bottom style="medium">
        <color theme="8" tint="-0.249977111117893"/>
      </bottom>
      <diagonal/>
    </border>
    <border>
      <left/>
      <right/>
      <top style="medium">
        <color theme="8" tint="-0.249977111117893"/>
      </top>
      <bottom style="medium">
        <color theme="8" tint="-0.249977111117893"/>
      </bottom>
      <diagonal/>
    </border>
    <border>
      <left style="medium">
        <color theme="8" tint="-0.249977111117893"/>
      </left>
      <right style="thin">
        <color indexed="64"/>
      </right>
      <top style="medium">
        <color theme="8" tint="-0.249977111117893"/>
      </top>
      <bottom style="medium">
        <color theme="8" tint="-0.249977111117893"/>
      </bottom>
      <diagonal/>
    </border>
    <border>
      <left style="thin">
        <color indexed="64"/>
      </left>
      <right style="medium">
        <color theme="8" tint="-0.249977111117893"/>
      </right>
      <top style="medium">
        <color theme="8" tint="-0.249977111117893"/>
      </top>
      <bottom style="medium">
        <color theme="8" tint="-0.249977111117893"/>
      </bottom>
      <diagonal/>
    </border>
    <border>
      <left style="medium">
        <color theme="8" tint="-0.249977111117893"/>
      </left>
      <right style="medium">
        <color theme="8" tint="-0.249977111117893"/>
      </right>
      <top style="medium">
        <color theme="8" tint="-0.249977111117893"/>
      </top>
      <bottom/>
      <diagonal/>
    </border>
    <border>
      <left style="medium">
        <color theme="5" tint="-0.499984740745262"/>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style="medium">
        <color theme="5"/>
      </left>
      <right/>
      <top style="medium">
        <color theme="5"/>
      </top>
      <bottom/>
      <diagonal/>
    </border>
    <border>
      <left style="medium">
        <color theme="5"/>
      </left>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medium">
        <color rgb="FF00B0F0"/>
      </left>
      <right style="medium">
        <color rgb="FF00B0F0"/>
      </right>
      <top style="medium">
        <color rgb="FF00B0F0"/>
      </top>
      <bottom/>
      <diagonal/>
    </border>
    <border>
      <left/>
      <right/>
      <top style="medium">
        <color rgb="FFED7D31"/>
      </top>
      <bottom style="medium">
        <color theme="5"/>
      </bottom>
      <diagonal/>
    </border>
    <border>
      <left/>
      <right/>
      <top/>
      <bottom style="medium">
        <color rgb="FFED7D31"/>
      </bottom>
      <diagonal/>
    </border>
  </borders>
  <cellStyleXfs count="3">
    <xf numFmtId="0" fontId="0" fillId="0" borderId="0"/>
    <xf numFmtId="0" fontId="14" fillId="0" borderId="0" applyNumberFormat="0" applyFill="0" applyBorder="0" applyAlignment="0" applyProtection="0"/>
    <xf numFmtId="43" fontId="64" fillId="0" borderId="0" applyFont="0" applyFill="0" applyBorder="0" applyAlignment="0" applyProtection="0"/>
  </cellStyleXfs>
  <cellXfs count="1130">
    <xf numFmtId="0" fontId="0" fillId="0" borderId="0" xfId="0"/>
    <xf numFmtId="0" fontId="0" fillId="0" borderId="0" xfId="0" applyAlignment="1">
      <alignment horizontal="left" vertical="top"/>
    </xf>
    <xf numFmtId="2" fontId="0" fillId="0" borderId="0" xfId="0" applyNumberFormat="1"/>
    <xf numFmtId="2" fontId="0" fillId="0" borderId="0" xfId="0" applyNumberFormat="1" applyAlignment="1">
      <alignment wrapText="1"/>
    </xf>
    <xf numFmtId="2" fontId="0" fillId="0" borderId="0" xfId="0" applyNumberFormat="1" applyAlignment="1">
      <alignment horizontal="center" vertical="top" wrapText="1"/>
    </xf>
    <xf numFmtId="2" fontId="0" fillId="0" borderId="0" xfId="0" applyNumberFormat="1" applyAlignment="1">
      <alignment vertical="center"/>
    </xf>
    <xf numFmtId="2" fontId="0" fillId="6" borderId="1" xfId="0" applyNumberFormat="1" applyFill="1" applyBorder="1"/>
    <xf numFmtId="2" fontId="0" fillId="6" borderId="9" xfId="0" applyNumberFormat="1" applyFill="1" applyBorder="1"/>
    <xf numFmtId="2" fontId="0" fillId="6" borderId="2" xfId="0" applyNumberFormat="1" applyFill="1" applyBorder="1"/>
    <xf numFmtId="2" fontId="0" fillId="6" borderId="0" xfId="0" applyNumberFormat="1" applyFill="1"/>
    <xf numFmtId="2" fontId="0" fillId="6" borderId="10" xfId="0" applyNumberFormat="1" applyFill="1" applyBorder="1"/>
    <xf numFmtId="2" fontId="0" fillId="6" borderId="3" xfId="0" applyNumberFormat="1" applyFill="1" applyBorder="1"/>
    <xf numFmtId="2" fontId="0" fillId="6" borderId="11" xfId="0" applyNumberFormat="1" applyFill="1" applyBorder="1"/>
    <xf numFmtId="2" fontId="0" fillId="6" borderId="4" xfId="0" applyNumberFormat="1" applyFill="1" applyBorder="1"/>
    <xf numFmtId="2" fontId="0" fillId="6" borderId="12" xfId="0" applyNumberFormat="1" applyFill="1" applyBorder="1"/>
    <xf numFmtId="0" fontId="0" fillId="6" borderId="1" xfId="0" applyFill="1" applyBorder="1"/>
    <xf numFmtId="0" fontId="0" fillId="6" borderId="2" xfId="0" applyFill="1" applyBorder="1"/>
    <xf numFmtId="0" fontId="0" fillId="6" borderId="10" xfId="0" applyFill="1" applyBorder="1"/>
    <xf numFmtId="0" fontId="0" fillId="6" borderId="3" xfId="0" applyFill="1" applyBorder="1"/>
    <xf numFmtId="0" fontId="0" fillId="6" borderId="11" xfId="0" applyFill="1" applyBorder="1"/>
    <xf numFmtId="0" fontId="0" fillId="6" borderId="12" xfId="0" applyFill="1" applyBorder="1"/>
    <xf numFmtId="0" fontId="0" fillId="6" borderId="4" xfId="0" applyFill="1" applyBorder="1"/>
    <xf numFmtId="0" fontId="0" fillId="6" borderId="9" xfId="0" applyFill="1" applyBorder="1"/>
    <xf numFmtId="2" fontId="0" fillId="0" borderId="0" xfId="0" applyNumberFormat="1" applyAlignment="1">
      <alignment horizontal="left" vertical="top"/>
    </xf>
    <xf numFmtId="0" fontId="0" fillId="0" borderId="0" xfId="0" applyAlignment="1">
      <alignment horizontal="left" vertical="center"/>
    </xf>
    <xf numFmtId="0" fontId="0" fillId="0" borderId="0" xfId="0" applyAlignment="1">
      <alignment horizontal="center"/>
    </xf>
    <xf numFmtId="0" fontId="0" fillId="6" borderId="12" xfId="0" applyFill="1" applyBorder="1" applyAlignment="1">
      <alignment horizontal="center"/>
    </xf>
    <xf numFmtId="0" fontId="0" fillId="0" borderId="0" xfId="0" applyAlignment="1">
      <alignment vertical="top" wrapText="1"/>
    </xf>
    <xf numFmtId="0" fontId="0" fillId="0" borderId="18" xfId="0" applyBorder="1"/>
    <xf numFmtId="0" fontId="0" fillId="0" borderId="19" xfId="0" applyBorder="1"/>
    <xf numFmtId="167" fontId="0" fillId="0" borderId="20" xfId="0" applyNumberFormat="1" applyBorder="1" applyAlignment="1">
      <alignment horizontal="center"/>
    </xf>
    <xf numFmtId="0" fontId="0" fillId="0" borderId="21" xfId="0" applyBorder="1"/>
    <xf numFmtId="0" fontId="0" fillId="5" borderId="22" xfId="0" applyFill="1" applyBorder="1" applyAlignment="1">
      <alignment horizontal="center" vertical="center"/>
    </xf>
    <xf numFmtId="0" fontId="0" fillId="0" borderId="20" xfId="0" applyBorder="1"/>
    <xf numFmtId="0" fontId="3" fillId="0" borderId="0" xfId="0" applyFont="1"/>
    <xf numFmtId="0" fontId="0" fillId="0" borderId="7" xfId="0" applyBorder="1" applyAlignment="1" applyProtection="1">
      <alignment horizontal="center"/>
      <protection locked="0"/>
    </xf>
    <xf numFmtId="15" fontId="0" fillId="0" borderId="0" xfId="0" applyNumberFormat="1"/>
    <xf numFmtId="0" fontId="0" fillId="0" borderId="0" xfId="0" applyAlignment="1">
      <alignment horizontal="left" vertical="top" wrapText="1"/>
    </xf>
    <xf numFmtId="165" fontId="0" fillId="6" borderId="0" xfId="0" applyNumberFormat="1" applyFill="1" applyAlignment="1" applyProtection="1">
      <alignment horizontal="right"/>
      <protection locked="0"/>
    </xf>
    <xf numFmtId="1" fontId="0" fillId="6" borderId="0" xfId="0" applyNumberFormat="1" applyFill="1" applyAlignment="1" applyProtection="1">
      <alignment horizontal="right"/>
      <protection locked="0"/>
    </xf>
    <xf numFmtId="1" fontId="0" fillId="6" borderId="0" xfId="0" applyNumberFormat="1" applyFill="1" applyAlignment="1">
      <alignment horizontal="right"/>
    </xf>
    <xf numFmtId="165" fontId="1" fillId="6" borderId="0" xfId="0" applyNumberFormat="1" applyFont="1" applyFill="1" applyAlignment="1">
      <alignment horizontal="right"/>
    </xf>
    <xf numFmtId="165" fontId="5" fillId="6" borderId="0" xfId="0" applyNumberFormat="1" applyFont="1" applyFill="1" applyAlignment="1">
      <alignment horizontal="right"/>
    </xf>
    <xf numFmtId="0" fontId="0" fillId="0" borderId="17" xfId="0" applyBorder="1" applyAlignment="1" applyProtection="1">
      <alignment horizontal="center"/>
      <protection locked="0"/>
    </xf>
    <xf numFmtId="2" fontId="0" fillId="6" borderId="0" xfId="0" applyNumberFormat="1" applyFill="1" applyAlignment="1">
      <alignment horizontal="center" vertical="center" wrapText="1"/>
    </xf>
    <xf numFmtId="2" fontId="0" fillId="3" borderId="30" xfId="0" applyNumberFormat="1" applyFill="1" applyBorder="1" applyAlignment="1">
      <alignment horizontal="left"/>
    </xf>
    <xf numFmtId="2" fontId="0" fillId="9" borderId="30" xfId="0" applyNumberFormat="1" applyFill="1" applyBorder="1" applyAlignment="1">
      <alignment horizontal="left"/>
    </xf>
    <xf numFmtId="2" fontId="0" fillId="10" borderId="30" xfId="0" applyNumberFormat="1" applyFill="1" applyBorder="1" applyAlignment="1">
      <alignment horizontal="left" vertical="top" wrapText="1"/>
    </xf>
    <xf numFmtId="2" fontId="0" fillId="2" borderId="30" xfId="0" applyNumberFormat="1" applyFill="1" applyBorder="1" applyAlignment="1">
      <alignment horizontal="left" vertical="top"/>
    </xf>
    <xf numFmtId="1" fontId="0" fillId="0" borderId="0" xfId="0" applyNumberFormat="1" applyAlignment="1" applyProtection="1">
      <alignment horizontal="right"/>
      <protection locked="0"/>
    </xf>
    <xf numFmtId="2" fontId="0" fillId="0" borderId="0" xfId="0" applyNumberFormat="1" applyAlignment="1">
      <alignment horizontal="left"/>
    </xf>
    <xf numFmtId="1" fontId="0" fillId="0" borderId="0" xfId="0" applyNumberFormat="1" applyAlignment="1">
      <alignment horizontal="right"/>
    </xf>
    <xf numFmtId="165" fontId="1" fillId="0" borderId="0" xfId="0" applyNumberFormat="1" applyFont="1" applyAlignment="1">
      <alignment horizontal="right"/>
    </xf>
    <xf numFmtId="2" fontId="0" fillId="0" borderId="0" xfId="0" applyNumberFormat="1" applyAlignment="1">
      <alignment horizontal="left" vertical="top" wrapText="1"/>
    </xf>
    <xf numFmtId="165" fontId="5" fillId="0" borderId="0" xfId="0" applyNumberFormat="1" applyFont="1" applyAlignment="1">
      <alignment horizontal="right"/>
    </xf>
    <xf numFmtId="2" fontId="0" fillId="0" borderId="30" xfId="0" applyNumberFormat="1" applyBorder="1" applyAlignment="1" applyProtection="1">
      <alignment horizontal="right"/>
      <protection locked="0"/>
    </xf>
    <xf numFmtId="2" fontId="1" fillId="3" borderId="30" xfId="0" applyNumberFormat="1" applyFont="1" applyFill="1" applyBorder="1" applyAlignment="1">
      <alignment horizontal="right"/>
    </xf>
    <xf numFmtId="2" fontId="1" fillId="6" borderId="0" xfId="0" applyNumberFormat="1" applyFont="1" applyFill="1"/>
    <xf numFmtId="2" fontId="0" fillId="0" borderId="30" xfId="0" applyNumberFormat="1" applyBorder="1" applyAlignment="1" applyProtection="1">
      <alignment horizontal="right" vertical="center"/>
      <protection locked="0"/>
    </xf>
    <xf numFmtId="2" fontId="1" fillId="9" borderId="30" xfId="0" applyNumberFormat="1" applyFont="1" applyFill="1" applyBorder="1" applyAlignment="1">
      <alignment horizontal="right"/>
    </xf>
    <xf numFmtId="2" fontId="5" fillId="2" borderId="30" xfId="0" applyNumberFormat="1" applyFont="1" applyFill="1" applyBorder="1" applyAlignment="1">
      <alignment horizontal="right"/>
    </xf>
    <xf numFmtId="2" fontId="0" fillId="3" borderId="30" xfId="0" applyNumberFormat="1" applyFill="1" applyBorder="1" applyAlignment="1">
      <alignment horizontal="left" vertical="center" wrapText="1"/>
    </xf>
    <xf numFmtId="0" fontId="16" fillId="0" borderId="0" xfId="0" applyFont="1"/>
    <xf numFmtId="2" fontId="0" fillId="0" borderId="17" xfId="0" applyNumberFormat="1" applyBorder="1" applyAlignment="1" applyProtection="1">
      <alignment horizontal="center"/>
      <protection locked="0"/>
    </xf>
    <xf numFmtId="0" fontId="17" fillId="0" borderId="0" xfId="0" applyFont="1"/>
    <xf numFmtId="2" fontId="0" fillId="0" borderId="51" xfId="0" applyNumberFormat="1" applyBorder="1" applyAlignment="1" applyProtection="1">
      <alignment horizontal="center"/>
      <protection locked="0"/>
    </xf>
    <xf numFmtId="0" fontId="0" fillId="0" borderId="51" xfId="0" applyBorder="1" applyAlignment="1" applyProtection="1">
      <alignment horizontal="center"/>
      <protection locked="0"/>
    </xf>
    <xf numFmtId="166" fontId="3" fillId="15" borderId="51" xfId="0" applyNumberFormat="1" applyFont="1" applyFill="1" applyBorder="1" applyAlignment="1">
      <alignment horizontal="center"/>
    </xf>
    <xf numFmtId="0" fontId="0" fillId="14" borderId="51" xfId="0" applyFill="1" applyBorder="1" applyAlignment="1">
      <alignment horizontal="center" vertical="center"/>
    </xf>
    <xf numFmtId="0" fontId="3" fillId="14" borderId="51" xfId="0" applyFont="1" applyFill="1" applyBorder="1" applyAlignment="1">
      <alignment horizontal="center" vertical="center"/>
    </xf>
    <xf numFmtId="0" fontId="0" fillId="5" borderId="52" xfId="0" applyFill="1" applyBorder="1" applyAlignment="1">
      <alignment horizontal="center" vertical="center"/>
    </xf>
    <xf numFmtId="0" fontId="3" fillId="5" borderId="52" xfId="0" applyFont="1" applyFill="1" applyBorder="1" applyAlignment="1">
      <alignment horizontal="center" vertical="center"/>
    </xf>
    <xf numFmtId="2" fontId="0" fillId="0" borderId="0" xfId="0" applyNumberFormat="1" applyAlignment="1" applyProtection="1">
      <alignment wrapText="1"/>
      <protection locked="0"/>
    </xf>
    <xf numFmtId="2" fontId="1" fillId="0" borderId="0" xfId="0" applyNumberFormat="1" applyFont="1" applyAlignment="1" applyProtection="1">
      <alignment wrapText="1"/>
      <protection locked="0"/>
    </xf>
    <xf numFmtId="2" fontId="1" fillId="0" borderId="0" xfId="0" applyNumberFormat="1" applyFont="1" applyAlignment="1">
      <alignment wrapText="1"/>
    </xf>
    <xf numFmtId="2" fontId="0" fillId="0" borderId="0" xfId="0" applyNumberFormat="1" applyAlignment="1">
      <alignment horizontal="left" vertical="center" wrapText="1"/>
    </xf>
    <xf numFmtId="2" fontId="1" fillId="0" borderId="0" xfId="0" applyNumberFormat="1" applyFont="1" applyAlignment="1">
      <alignment horizontal="left" vertical="center" wrapText="1"/>
    </xf>
    <xf numFmtId="2" fontId="4" fillId="0" borderId="0" xfId="0" applyNumberFormat="1" applyFont="1" applyAlignment="1">
      <alignment wrapText="1"/>
    </xf>
    <xf numFmtId="2" fontId="0" fillId="0" borderId="0" xfId="0" applyNumberFormat="1" applyAlignment="1">
      <alignment vertical="center" wrapText="1"/>
    </xf>
    <xf numFmtId="2" fontId="3" fillId="0" borderId="0" xfId="0" applyNumberFormat="1" applyFont="1" applyAlignment="1">
      <alignment wrapText="1"/>
    </xf>
    <xf numFmtId="2" fontId="24" fillId="3" borderId="30" xfId="0" applyNumberFormat="1" applyFont="1" applyFill="1" applyBorder="1" applyAlignment="1">
      <alignment horizontal="left"/>
    </xf>
    <xf numFmtId="2" fontId="0" fillId="9" borderId="30" xfId="0" applyNumberFormat="1" applyFill="1" applyBorder="1" applyAlignment="1">
      <alignment horizontal="right"/>
    </xf>
    <xf numFmtId="2" fontId="24" fillId="3" borderId="30" xfId="0" applyNumberFormat="1" applyFont="1" applyFill="1" applyBorder="1" applyAlignment="1">
      <alignment horizontal="right"/>
    </xf>
    <xf numFmtId="0" fontId="0" fillId="0" borderId="0" xfId="0" applyAlignment="1" applyProtection="1">
      <alignment horizontal="center" vertical="center"/>
      <protection locked="0"/>
    </xf>
    <xf numFmtId="0" fontId="0" fillId="0" borderId="0" xfId="0" applyAlignment="1">
      <alignment horizontal="center" vertical="center"/>
    </xf>
    <xf numFmtId="20" fontId="0" fillId="0" borderId="0" xfId="0" applyNumberFormat="1" applyProtection="1">
      <protection locked="0"/>
    </xf>
    <xf numFmtId="20" fontId="0" fillId="0" borderId="0" xfId="0" applyNumberFormat="1"/>
    <xf numFmtId="2" fontId="0" fillId="0" borderId="0" xfId="0" applyNumberFormat="1" applyAlignment="1">
      <alignment horizontal="center"/>
    </xf>
    <xf numFmtId="164" fontId="0" fillId="0" borderId="0" xfId="0" applyNumberFormat="1" applyAlignment="1">
      <alignment horizontal="center"/>
    </xf>
    <xf numFmtId="169" fontId="0" fillId="0" borderId="0" xfId="0" applyNumberFormat="1" applyAlignment="1">
      <alignment horizontal="center"/>
    </xf>
    <xf numFmtId="170" fontId="0" fillId="0" borderId="0" xfId="0" applyNumberFormat="1" applyAlignment="1">
      <alignment horizontal="center"/>
    </xf>
    <xf numFmtId="171" fontId="0" fillId="0" borderId="0" xfId="0" applyNumberFormat="1" applyAlignment="1">
      <alignment horizontal="center"/>
    </xf>
    <xf numFmtId="166" fontId="0" fillId="0" borderId="0" xfId="0" applyNumberFormat="1" applyAlignment="1">
      <alignment horizontal="center"/>
    </xf>
    <xf numFmtId="168" fontId="0" fillId="0" borderId="0" xfId="0" applyNumberFormat="1" applyAlignment="1">
      <alignment horizontal="center"/>
    </xf>
    <xf numFmtId="0" fontId="3" fillId="0" borderId="0" xfId="0" applyFont="1" applyAlignment="1">
      <alignment horizontal="center"/>
    </xf>
    <xf numFmtId="2" fontId="0" fillId="0" borderId="0" xfId="0" applyNumberFormat="1" applyAlignment="1">
      <alignment horizontal="center" vertical="center" wrapText="1"/>
    </xf>
    <xf numFmtId="2" fontId="0" fillId="0" borderId="0" xfId="0" applyNumberFormat="1" applyAlignment="1">
      <alignment horizontal="center" vertical="top"/>
    </xf>
    <xf numFmtId="165" fontId="0" fillId="0" borderId="0" xfId="0" applyNumberFormat="1" applyAlignment="1">
      <alignment horizontal="center" vertical="top"/>
    </xf>
    <xf numFmtId="2" fontId="8" fillId="0" borderId="0" xfId="0" applyNumberFormat="1" applyFont="1" applyAlignment="1">
      <alignment vertical="top"/>
    </xf>
    <xf numFmtId="172" fontId="0" fillId="0" borderId="20" xfId="0" applyNumberFormat="1" applyBorder="1" applyAlignment="1">
      <alignment horizontal="center"/>
    </xf>
    <xf numFmtId="0" fontId="0" fillId="0" borderId="19" xfId="0" applyBorder="1" applyAlignment="1">
      <alignment horizontal="center"/>
    </xf>
    <xf numFmtId="172" fontId="0" fillId="0" borderId="18" xfId="0" applyNumberFormat="1" applyBorder="1" applyAlignment="1">
      <alignment horizontal="center"/>
    </xf>
    <xf numFmtId="0" fontId="0" fillId="0" borderId="18" xfId="0" applyBorder="1" applyAlignment="1">
      <alignment horizontal="center"/>
    </xf>
    <xf numFmtId="0" fontId="0" fillId="0" borderId="18" xfId="0" applyBorder="1" applyAlignment="1">
      <alignment vertical="top"/>
    </xf>
    <xf numFmtId="0" fontId="0" fillId="0" borderId="0" xfId="0" applyAlignment="1">
      <alignment vertical="top"/>
    </xf>
    <xf numFmtId="0" fontId="0" fillId="0" borderId="18" xfId="0" applyBorder="1" applyAlignment="1">
      <alignment horizontal="center" vertical="top"/>
    </xf>
    <xf numFmtId="172" fontId="0" fillId="0" borderId="18" xfId="0" applyNumberFormat="1" applyBorder="1" applyAlignment="1">
      <alignment horizontal="center" vertical="top"/>
    </xf>
    <xf numFmtId="0" fontId="26" fillId="6" borderId="10" xfId="0" applyFont="1" applyFill="1" applyBorder="1"/>
    <xf numFmtId="0" fontId="26" fillId="6" borderId="3" xfId="0" applyFont="1" applyFill="1" applyBorder="1"/>
    <xf numFmtId="164" fontId="0" fillId="0" borderId="56" xfId="0" applyNumberFormat="1" applyBorder="1" applyAlignment="1" applyProtection="1">
      <alignment horizontal="center"/>
      <protection locked="0"/>
    </xf>
    <xf numFmtId="0" fontId="0" fillId="0" borderId="56" xfId="0" applyBorder="1" applyAlignment="1" applyProtection="1">
      <alignment horizontal="center"/>
      <protection locked="0"/>
    </xf>
    <xf numFmtId="164" fontId="3" fillId="12" borderId="56" xfId="0" applyNumberFormat="1" applyFont="1" applyFill="1" applyBorder="1" applyAlignment="1">
      <alignment horizontal="center"/>
    </xf>
    <xf numFmtId="0" fontId="0" fillId="6" borderId="59" xfId="0" applyFill="1" applyBorder="1"/>
    <xf numFmtId="166" fontId="3" fillId="19" borderId="29" xfId="0" applyNumberFormat="1" applyFont="1" applyFill="1" applyBorder="1" applyAlignment="1">
      <alignment horizontal="center"/>
    </xf>
    <xf numFmtId="2" fontId="0" fillId="0" borderId="16" xfId="0" applyNumberFormat="1" applyBorder="1" applyAlignment="1" applyProtection="1">
      <alignment horizontal="center"/>
      <protection locked="0"/>
    </xf>
    <xf numFmtId="0" fontId="0" fillId="0" borderId="50" xfId="0" applyBorder="1" applyAlignment="1" applyProtection="1">
      <alignment horizontal="center"/>
      <protection locked="0"/>
    </xf>
    <xf numFmtId="0" fontId="0" fillId="0" borderId="16" xfId="0" applyBorder="1" applyAlignment="1" applyProtection="1">
      <alignment horizontal="center"/>
      <protection locked="0"/>
    </xf>
    <xf numFmtId="0" fontId="0" fillId="6" borderId="38" xfId="0" applyFill="1" applyBorder="1"/>
    <xf numFmtId="0" fontId="0" fillId="0" borderId="35" xfId="0" applyBorder="1" applyAlignment="1" applyProtection="1">
      <alignment horizontal="center"/>
      <protection locked="0"/>
    </xf>
    <xf numFmtId="0" fontId="27" fillId="17" borderId="67" xfId="0" applyFont="1" applyFill="1" applyBorder="1" applyAlignment="1">
      <alignment horizontal="center" vertical="center"/>
    </xf>
    <xf numFmtId="166" fontId="3" fillId="8" borderId="17" xfId="0" applyNumberFormat="1" applyFont="1" applyFill="1" applyBorder="1" applyAlignment="1">
      <alignment horizontal="center"/>
    </xf>
    <xf numFmtId="0" fontId="0" fillId="18" borderId="16" xfId="0" applyFill="1" applyBorder="1" applyAlignment="1">
      <alignment horizontal="center" vertical="center"/>
    </xf>
    <xf numFmtId="0" fontId="0" fillId="18" borderId="28" xfId="0" applyFill="1" applyBorder="1" applyAlignment="1">
      <alignment horizontal="center" vertical="center"/>
    </xf>
    <xf numFmtId="0" fontId="3" fillId="18" borderId="16" xfId="0" applyFont="1" applyFill="1" applyBorder="1" applyAlignment="1">
      <alignment horizontal="center" vertical="center"/>
    </xf>
    <xf numFmtId="0" fontId="0" fillId="0" borderId="0" xfId="0" applyAlignment="1">
      <alignment wrapText="1"/>
    </xf>
    <xf numFmtId="0" fontId="28" fillId="0" borderId="0" xfId="0" applyFont="1"/>
    <xf numFmtId="0" fontId="14" fillId="0" borderId="0" xfId="1" quotePrefix="1"/>
    <xf numFmtId="0" fontId="8" fillId="0" borderId="22" xfId="0" applyFont="1" applyBorder="1" applyAlignment="1">
      <alignment horizontal="center"/>
    </xf>
    <xf numFmtId="0" fontId="8" fillId="0" borderId="69" xfId="0" applyFont="1" applyBorder="1" applyAlignment="1">
      <alignment horizontal="center"/>
    </xf>
    <xf numFmtId="0" fontId="0" fillId="0" borderId="0" xfId="0" applyAlignment="1" applyProtection="1">
      <alignment horizontal="center"/>
      <protection locked="0"/>
    </xf>
    <xf numFmtId="0" fontId="4" fillId="0" borderId="70" xfId="0" applyFont="1" applyBorder="1" applyAlignment="1">
      <alignment horizontal="center"/>
    </xf>
    <xf numFmtId="0" fontId="4" fillId="0" borderId="0" xfId="0" applyFont="1" applyAlignment="1">
      <alignment horizontal="center"/>
    </xf>
    <xf numFmtId="0" fontId="8" fillId="6" borderId="22" xfId="0" applyFont="1" applyFill="1" applyBorder="1" applyAlignment="1">
      <alignment horizontal="center"/>
    </xf>
    <xf numFmtId="0" fontId="29" fillId="0" borderId="0" xfId="0" applyFont="1"/>
    <xf numFmtId="0" fontId="34" fillId="0" borderId="0" xfId="0" applyFont="1" applyAlignment="1">
      <alignment vertical="center"/>
    </xf>
    <xf numFmtId="0" fontId="3" fillId="0" borderId="0" xfId="0" applyFont="1" applyAlignment="1">
      <alignment vertical="center"/>
    </xf>
    <xf numFmtId="0" fontId="3" fillId="6" borderId="1" xfId="0" applyFont="1" applyFill="1" applyBorder="1"/>
    <xf numFmtId="0" fontId="3" fillId="6" borderId="9" xfId="0" applyFont="1" applyFill="1" applyBorder="1"/>
    <xf numFmtId="0" fontId="3" fillId="6" borderId="2" xfId="0" applyFont="1" applyFill="1" applyBorder="1"/>
    <xf numFmtId="0" fontId="0" fillId="18" borderId="28" xfId="0" applyFill="1" applyBorder="1" applyAlignment="1">
      <alignment horizontal="center" vertical="center" wrapText="1"/>
    </xf>
    <xf numFmtId="0" fontId="0" fillId="17" borderId="17" xfId="0" applyFill="1" applyBorder="1" applyAlignment="1">
      <alignment horizontal="center" vertical="center" wrapText="1"/>
    </xf>
    <xf numFmtId="0" fontId="0" fillId="17" borderId="17" xfId="0" applyFill="1" applyBorder="1" applyAlignment="1">
      <alignment horizontal="center" vertical="center"/>
    </xf>
    <xf numFmtId="0" fontId="37" fillId="23" borderId="72" xfId="0" applyFont="1" applyFill="1" applyBorder="1" applyAlignment="1">
      <alignment horizontal="center" wrapText="1"/>
    </xf>
    <xf numFmtId="0" fontId="37" fillId="0" borderId="72" xfId="0" applyFont="1" applyBorder="1" applyAlignment="1" applyProtection="1">
      <alignment horizontal="center" vertical="center"/>
      <protection locked="0"/>
    </xf>
    <xf numFmtId="2" fontId="4" fillId="0" borderId="0" xfId="0" applyNumberFormat="1" applyFont="1" applyAlignment="1">
      <alignment vertical="center" wrapText="1"/>
    </xf>
    <xf numFmtId="0" fontId="18" fillId="0" borderId="0" xfId="0" applyFont="1"/>
    <xf numFmtId="2" fontId="18" fillId="0" borderId="0" xfId="0" applyNumberFormat="1" applyFont="1" applyAlignment="1">
      <alignment wrapText="1"/>
    </xf>
    <xf numFmtId="2" fontId="2" fillId="0" borderId="0" xfId="0" applyNumberFormat="1" applyFont="1" applyAlignment="1">
      <alignment vertical="center"/>
    </xf>
    <xf numFmtId="164" fontId="0" fillId="0" borderId="77" xfId="0" applyNumberFormat="1" applyBorder="1" applyAlignment="1" applyProtection="1">
      <alignment horizontal="center"/>
      <protection locked="0"/>
    </xf>
    <xf numFmtId="2" fontId="0" fillId="0" borderId="77" xfId="0" applyNumberFormat="1" applyBorder="1" applyAlignment="1" applyProtection="1">
      <alignment horizontal="center"/>
      <protection locked="0"/>
    </xf>
    <xf numFmtId="0" fontId="0" fillId="9" borderId="77" xfId="0" applyFill="1" applyBorder="1" applyAlignment="1">
      <alignment horizontal="center" vertical="center" wrapText="1"/>
    </xf>
    <xf numFmtId="0" fontId="3" fillId="9" borderId="77" xfId="0" applyFont="1" applyFill="1" applyBorder="1" applyAlignment="1">
      <alignment horizontal="center" vertical="center"/>
    </xf>
    <xf numFmtId="164" fontId="3" fillId="7" borderId="77" xfId="0" applyNumberFormat="1" applyFont="1" applyFill="1" applyBorder="1" applyAlignment="1">
      <alignment horizontal="center"/>
    </xf>
    <xf numFmtId="0" fontId="37" fillId="0" borderId="0" xfId="0" applyFont="1"/>
    <xf numFmtId="2" fontId="3" fillId="0" borderId="0" xfId="0" applyNumberFormat="1" applyFont="1" applyAlignment="1">
      <alignment horizontal="center" vertical="top"/>
    </xf>
    <xf numFmtId="2" fontId="0" fillId="0" borderId="0" xfId="0" applyNumberFormat="1" applyAlignment="1" applyProtection="1">
      <alignment horizontal="right"/>
      <protection locked="0"/>
    </xf>
    <xf numFmtId="2" fontId="31" fillId="0" borderId="0" xfId="0" applyNumberFormat="1" applyFont="1" applyAlignment="1">
      <alignment horizontal="left"/>
    </xf>
    <xf numFmtId="2" fontId="31" fillId="0" borderId="0" xfId="0" applyNumberFormat="1" applyFont="1" applyAlignment="1">
      <alignment horizontal="right"/>
    </xf>
    <xf numFmtId="2" fontId="4" fillId="0" borderId="0" xfId="0" applyNumberFormat="1" applyFont="1" applyAlignment="1">
      <alignment horizontal="left"/>
    </xf>
    <xf numFmtId="2" fontId="32" fillId="0" borderId="0" xfId="0" applyNumberFormat="1" applyFont="1" applyAlignment="1">
      <alignment horizontal="right"/>
    </xf>
    <xf numFmtId="2" fontId="4" fillId="0" borderId="0" xfId="0" applyNumberFormat="1" applyFont="1" applyAlignment="1">
      <alignment horizontal="right"/>
    </xf>
    <xf numFmtId="2" fontId="0" fillId="0" borderId="0" xfId="0" applyNumberFormat="1" applyAlignment="1">
      <alignment horizontal="right"/>
    </xf>
    <xf numFmtId="2" fontId="3" fillId="0" borderId="0" xfId="0" applyNumberFormat="1" applyFont="1" applyAlignment="1">
      <alignment vertical="top" wrapText="1"/>
    </xf>
    <xf numFmtId="2" fontId="0" fillId="0" borderId="0" xfId="0" applyNumberFormat="1" applyProtection="1">
      <protection locked="0"/>
    </xf>
    <xf numFmtId="2" fontId="0" fillId="0" borderId="69" xfId="0" applyNumberFormat="1" applyBorder="1" applyAlignment="1">
      <alignment wrapText="1"/>
    </xf>
    <xf numFmtId="2" fontId="0" fillId="0" borderId="87" xfId="0" applyNumberFormat="1" applyBorder="1" applyAlignment="1">
      <alignment wrapText="1"/>
    </xf>
    <xf numFmtId="0" fontId="45" fillId="0" borderId="0" xfId="0" applyFont="1"/>
    <xf numFmtId="0" fontId="46" fillId="0" borderId="0" xfId="0" applyFont="1"/>
    <xf numFmtId="0" fontId="46" fillId="0" borderId="0" xfId="0" applyFont="1" applyAlignment="1">
      <alignment horizontal="center"/>
    </xf>
    <xf numFmtId="2" fontId="46" fillId="0" borderId="94" xfId="0" applyNumberFormat="1" applyFont="1" applyBorder="1" applyAlignment="1" applyProtection="1">
      <alignment horizontal="center"/>
      <protection locked="0"/>
    </xf>
    <xf numFmtId="0" fontId="46" fillId="20" borderId="94" xfId="0" applyFont="1" applyFill="1" applyBorder="1" applyAlignment="1">
      <alignment horizontal="center"/>
    </xf>
    <xf numFmtId="0" fontId="0" fillId="2" borderId="43" xfId="0" applyFill="1" applyBorder="1" applyAlignment="1">
      <alignment horizontal="center" vertical="center" wrapText="1"/>
    </xf>
    <xf numFmtId="0" fontId="0" fillId="2" borderId="43" xfId="0" applyFill="1" applyBorder="1" applyAlignment="1">
      <alignment horizontal="center" vertical="center"/>
    </xf>
    <xf numFmtId="0" fontId="3" fillId="2" borderId="43" xfId="0" applyFont="1" applyFill="1" applyBorder="1" applyAlignment="1">
      <alignment horizontal="center" vertical="center"/>
    </xf>
    <xf numFmtId="2" fontId="0" fillId="0" borderId="43" xfId="0" applyNumberFormat="1" applyBorder="1" applyAlignment="1" applyProtection="1">
      <alignment horizontal="center"/>
      <protection locked="0"/>
    </xf>
    <xf numFmtId="0" fontId="0" fillId="0" borderId="43" xfId="0" applyBorder="1" applyAlignment="1" applyProtection="1">
      <alignment horizontal="center"/>
      <protection locked="0"/>
    </xf>
    <xf numFmtId="166" fontId="3" fillId="2" borderId="43" xfId="0" applyNumberFormat="1" applyFont="1" applyFill="1" applyBorder="1" applyAlignment="1">
      <alignment horizontal="center"/>
    </xf>
    <xf numFmtId="0" fontId="0" fillId="10" borderId="70" xfId="0" applyFill="1" applyBorder="1" applyAlignment="1">
      <alignment horizontal="center" vertical="center" wrapText="1"/>
    </xf>
    <xf numFmtId="0" fontId="3" fillId="10" borderId="70" xfId="0" applyFont="1" applyFill="1" applyBorder="1" applyAlignment="1">
      <alignment horizontal="center" vertical="center"/>
    </xf>
    <xf numFmtId="164" fontId="0" fillId="0" borderId="70" xfId="0" applyNumberFormat="1" applyBorder="1" applyAlignment="1" applyProtection="1">
      <alignment horizontal="center"/>
      <protection locked="0"/>
    </xf>
    <xf numFmtId="2" fontId="0" fillId="0" borderId="70" xfId="0" applyNumberFormat="1" applyBorder="1" applyAlignment="1" applyProtection="1">
      <alignment horizontal="center"/>
      <protection locked="0"/>
    </xf>
    <xf numFmtId="164" fontId="3" fillId="21" borderId="70" xfId="0" applyNumberFormat="1" applyFont="1" applyFill="1" applyBorder="1" applyAlignment="1">
      <alignment horizontal="center"/>
    </xf>
    <xf numFmtId="0" fontId="30" fillId="0" borderId="0" xfId="0" applyFont="1"/>
    <xf numFmtId="173" fontId="0" fillId="0" borderId="102" xfId="0" applyNumberFormat="1" applyBorder="1" applyAlignment="1" applyProtection="1">
      <alignment horizontal="left"/>
      <protection locked="0"/>
    </xf>
    <xf numFmtId="43" fontId="46" fillId="0" borderId="0" xfId="2" applyFont="1"/>
    <xf numFmtId="2" fontId="46" fillId="0" borderId="0" xfId="0" applyNumberFormat="1" applyFont="1" applyAlignment="1">
      <alignment horizontal="center" vertical="center"/>
    </xf>
    <xf numFmtId="0" fontId="46" fillId="0" borderId="0" xfId="0" applyFont="1" applyAlignment="1">
      <alignment vertical="center"/>
    </xf>
    <xf numFmtId="0" fontId="46" fillId="0" borderId="0" xfId="0" applyFont="1" applyAlignment="1" applyProtection="1">
      <alignment vertical="center"/>
      <protection locked="0"/>
    </xf>
    <xf numFmtId="2" fontId="46" fillId="0" borderId="0" xfId="0" applyNumberFormat="1" applyFont="1" applyAlignment="1">
      <alignment vertical="center"/>
    </xf>
    <xf numFmtId="0" fontId="46" fillId="0" borderId="0" xfId="0" applyFont="1" applyAlignment="1" applyProtection="1">
      <alignment horizontal="center" vertical="center"/>
      <protection locked="0"/>
    </xf>
    <xf numFmtId="0" fontId="55" fillId="0" borderId="0" xfId="0" applyFont="1" applyAlignment="1">
      <alignment horizontal="center" vertical="center"/>
    </xf>
    <xf numFmtId="2" fontId="57" fillId="0" borderId="0" xfId="0" applyNumberFormat="1" applyFont="1" applyAlignment="1">
      <alignment horizontal="center" vertical="center"/>
    </xf>
    <xf numFmtId="0" fontId="51" fillId="0" borderId="0" xfId="0" applyFont="1" applyAlignment="1">
      <alignment horizontal="center" vertical="center"/>
    </xf>
    <xf numFmtId="2" fontId="54" fillId="0" borderId="0" xfId="0" applyNumberFormat="1" applyFont="1" applyAlignment="1">
      <alignment horizontal="center" vertical="center"/>
    </xf>
    <xf numFmtId="0" fontId="53" fillId="0" borderId="0" xfId="0" applyFont="1" applyAlignment="1" applyProtection="1">
      <alignment horizontal="center" vertical="center"/>
      <protection locked="0"/>
    </xf>
    <xf numFmtId="0" fontId="46" fillId="0" borderId="0" xfId="0" applyFont="1" applyAlignment="1" applyProtection="1">
      <alignment horizontal="center"/>
      <protection locked="0"/>
    </xf>
    <xf numFmtId="2" fontId="46" fillId="0" borderId="0" xfId="0" applyNumberFormat="1" applyFont="1" applyAlignment="1">
      <alignment horizontal="center"/>
    </xf>
    <xf numFmtId="0" fontId="55" fillId="0" borderId="0" xfId="0" applyFont="1" applyAlignment="1">
      <alignment horizontal="center"/>
    </xf>
    <xf numFmtId="2" fontId="60" fillId="0" borderId="0" xfId="0" applyNumberFormat="1" applyFont="1" applyAlignment="1">
      <alignment horizontal="center"/>
    </xf>
    <xf numFmtId="2" fontId="49" fillId="0" borderId="0" xfId="0" applyNumberFormat="1" applyFont="1" applyAlignment="1">
      <alignment horizontal="center"/>
    </xf>
    <xf numFmtId="0" fontId="57" fillId="0" borderId="0" xfId="0" applyFont="1" applyAlignment="1">
      <alignment horizontal="center"/>
    </xf>
    <xf numFmtId="2" fontId="57" fillId="0" borderId="0" xfId="0" applyNumberFormat="1" applyFont="1" applyAlignment="1">
      <alignment horizontal="center"/>
    </xf>
    <xf numFmtId="0" fontId="50" fillId="0" borderId="0" xfId="0" applyFont="1" applyAlignment="1">
      <alignment vertical="center"/>
    </xf>
    <xf numFmtId="0" fontId="52" fillId="0" borderId="0" xfId="0" applyFont="1" applyAlignment="1">
      <alignment vertical="center"/>
    </xf>
    <xf numFmtId="0" fontId="58" fillId="0" borderId="0" xfId="0" applyFont="1" applyAlignment="1">
      <alignment vertical="center"/>
    </xf>
    <xf numFmtId="0" fontId="48" fillId="0" borderId="0" xfId="0" applyFont="1"/>
    <xf numFmtId="0" fontId="47" fillId="0" borderId="0" xfId="0" applyFont="1" applyAlignment="1">
      <alignment wrapText="1"/>
    </xf>
    <xf numFmtId="0" fontId="48" fillId="0" borderId="0" xfId="0" applyFont="1" applyAlignment="1">
      <alignment wrapText="1"/>
    </xf>
    <xf numFmtId="0" fontId="0" fillId="0" borderId="18" xfId="0" applyBorder="1" applyAlignment="1">
      <alignment wrapText="1"/>
    </xf>
    <xf numFmtId="0" fontId="3" fillId="3" borderId="8" xfId="0" applyFont="1" applyFill="1" applyBorder="1" applyAlignment="1">
      <alignment horizontal="left"/>
    </xf>
    <xf numFmtId="2" fontId="0" fillId="6" borderId="112" xfId="0" applyNumberFormat="1" applyFill="1" applyBorder="1"/>
    <xf numFmtId="2" fontId="0" fillId="6" borderId="113" xfId="0" applyNumberFormat="1" applyFill="1" applyBorder="1"/>
    <xf numFmtId="2" fontId="0" fillId="6" borderId="114" xfId="0" applyNumberFormat="1" applyFill="1" applyBorder="1"/>
    <xf numFmtId="2" fontId="0" fillId="6" borderId="115" xfId="0" applyNumberFormat="1" applyFill="1" applyBorder="1"/>
    <xf numFmtId="2" fontId="0" fillId="6" borderId="116" xfId="0" applyNumberFormat="1" applyFill="1" applyBorder="1"/>
    <xf numFmtId="2" fontId="0" fillId="6" borderId="117" xfId="0" applyNumberFormat="1" applyFill="1" applyBorder="1"/>
    <xf numFmtId="2" fontId="0" fillId="6" borderId="118" xfId="0" applyNumberFormat="1" applyFill="1" applyBorder="1"/>
    <xf numFmtId="2" fontId="0" fillId="6" borderId="119" xfId="0" applyNumberFormat="1" applyFill="1" applyBorder="1"/>
    <xf numFmtId="2" fontId="0" fillId="3" borderId="52" xfId="0" applyNumberFormat="1" applyFill="1" applyBorder="1" applyAlignment="1">
      <alignment horizontal="left"/>
    </xf>
    <xf numFmtId="165" fontId="0" fillId="0" borderId="52" xfId="0" applyNumberFormat="1" applyBorder="1" applyAlignment="1" applyProtection="1">
      <alignment horizontal="right"/>
      <protection locked="0"/>
    </xf>
    <xf numFmtId="1" fontId="0" fillId="0" borderId="52" xfId="0" applyNumberFormat="1" applyBorder="1" applyAlignment="1" applyProtection="1">
      <alignment horizontal="right"/>
      <protection locked="0"/>
    </xf>
    <xf numFmtId="2" fontId="0" fillId="9" borderId="52" xfId="0" applyNumberFormat="1" applyFill="1" applyBorder="1" applyAlignment="1">
      <alignment horizontal="left"/>
    </xf>
    <xf numFmtId="165" fontId="0" fillId="9" borderId="52" xfId="0" applyNumberFormat="1" applyFill="1" applyBorder="1" applyAlignment="1">
      <alignment horizontal="right"/>
    </xf>
    <xf numFmtId="2" fontId="24" fillId="3" borderId="52" xfId="0" applyNumberFormat="1" applyFont="1" applyFill="1" applyBorder="1" applyAlignment="1">
      <alignment horizontal="left"/>
    </xf>
    <xf numFmtId="1" fontId="24" fillId="3" borderId="52" xfId="0" applyNumberFormat="1" applyFont="1" applyFill="1" applyBorder="1" applyAlignment="1">
      <alignment horizontal="right"/>
    </xf>
    <xf numFmtId="165" fontId="1" fillId="3" borderId="52" xfId="0" applyNumberFormat="1" applyFont="1" applyFill="1" applyBorder="1" applyAlignment="1">
      <alignment horizontal="right"/>
    </xf>
    <xf numFmtId="165" fontId="1" fillId="9" borderId="52" xfId="0" applyNumberFormat="1" applyFont="1" applyFill="1" applyBorder="1" applyAlignment="1">
      <alignment horizontal="right"/>
    </xf>
    <xf numFmtId="2" fontId="0" fillId="10" borderId="52" xfId="0" applyNumberFormat="1" applyFill="1" applyBorder="1" applyAlignment="1">
      <alignment horizontal="left" vertical="top" wrapText="1"/>
    </xf>
    <xf numFmtId="2" fontId="0" fillId="2" borderId="52" xfId="0" applyNumberFormat="1" applyFill="1" applyBorder="1" applyAlignment="1">
      <alignment horizontal="left" vertical="top"/>
    </xf>
    <xf numFmtId="165" fontId="5" fillId="2" borderId="52" xfId="0" applyNumberFormat="1" applyFont="1" applyFill="1" applyBorder="1" applyAlignment="1">
      <alignment horizontal="right"/>
    </xf>
    <xf numFmtId="2" fontId="8" fillId="0" borderId="116" xfId="0" applyNumberFormat="1" applyFont="1" applyBorder="1" applyAlignment="1">
      <alignment vertical="top"/>
    </xf>
    <xf numFmtId="165" fontId="0" fillId="6" borderId="116" xfId="0" applyNumberFormat="1" applyFill="1" applyBorder="1" applyProtection="1">
      <protection locked="0"/>
    </xf>
    <xf numFmtId="1" fontId="0" fillId="6" borderId="116" xfId="0" applyNumberFormat="1" applyFill="1" applyBorder="1" applyProtection="1">
      <protection locked="0"/>
    </xf>
    <xf numFmtId="1" fontId="0" fillId="6" borderId="116" xfId="0" applyNumberFormat="1" applyFill="1" applyBorder="1"/>
    <xf numFmtId="165" fontId="1" fillId="6" borderId="116" xfId="0" applyNumberFormat="1" applyFont="1" applyFill="1" applyBorder="1"/>
    <xf numFmtId="2" fontId="0" fillId="6" borderId="116" xfId="0" applyNumberFormat="1" applyFill="1" applyBorder="1" applyAlignment="1">
      <alignment horizontal="center" vertical="top" wrapText="1"/>
    </xf>
    <xf numFmtId="165" fontId="0" fillId="6" borderId="116" xfId="0" applyNumberFormat="1" applyFill="1" applyBorder="1" applyAlignment="1">
      <alignment horizontal="center" vertical="top"/>
    </xf>
    <xf numFmtId="2" fontId="0" fillId="6" borderId="112" xfId="0" applyNumberFormat="1" applyFill="1" applyBorder="1" applyAlignment="1">
      <alignment wrapText="1"/>
    </xf>
    <xf numFmtId="2" fontId="0" fillId="6" borderId="113" xfId="0" applyNumberFormat="1" applyFill="1" applyBorder="1" applyAlignment="1">
      <alignment wrapText="1"/>
    </xf>
    <xf numFmtId="2" fontId="0" fillId="6" borderId="114" xfId="0" applyNumberFormat="1" applyFill="1" applyBorder="1" applyAlignment="1">
      <alignment wrapText="1"/>
    </xf>
    <xf numFmtId="2" fontId="0" fillId="6" borderId="115" xfId="0" applyNumberFormat="1" applyFill="1" applyBorder="1" applyAlignment="1">
      <alignment wrapText="1"/>
    </xf>
    <xf numFmtId="2" fontId="0" fillId="6" borderId="0" xfId="0" applyNumberFormat="1" applyFill="1" applyAlignment="1">
      <alignment wrapText="1"/>
    </xf>
    <xf numFmtId="2" fontId="0" fillId="6" borderId="116" xfId="0" applyNumberFormat="1" applyFill="1" applyBorder="1" applyAlignment="1">
      <alignment wrapText="1"/>
    </xf>
    <xf numFmtId="2" fontId="3" fillId="0" borderId="116" xfId="0" applyNumberFormat="1" applyFont="1" applyBorder="1" applyAlignment="1">
      <alignment horizontal="center" vertical="top" wrapText="1"/>
    </xf>
    <xf numFmtId="2" fontId="4" fillId="6" borderId="116" xfId="0" applyNumberFormat="1" applyFont="1" applyFill="1" applyBorder="1" applyAlignment="1">
      <alignment horizontal="left" vertical="top" wrapText="1"/>
    </xf>
    <xf numFmtId="165" fontId="4" fillId="6" borderId="116" xfId="0" applyNumberFormat="1" applyFont="1" applyFill="1" applyBorder="1" applyAlignment="1">
      <alignment horizontal="center" vertical="top" wrapText="1"/>
    </xf>
    <xf numFmtId="2" fontId="0" fillId="6" borderId="117" xfId="0" applyNumberFormat="1" applyFill="1" applyBorder="1" applyAlignment="1">
      <alignment wrapText="1"/>
    </xf>
    <xf numFmtId="2" fontId="0" fillId="6" borderId="118" xfId="0" applyNumberFormat="1" applyFill="1" applyBorder="1" applyAlignment="1">
      <alignment wrapText="1"/>
    </xf>
    <xf numFmtId="2" fontId="0" fillId="6" borderId="119" xfId="0" applyNumberFormat="1" applyFill="1" applyBorder="1" applyAlignment="1">
      <alignment wrapText="1"/>
    </xf>
    <xf numFmtId="2" fontId="0" fillId="0" borderId="52" xfId="0" applyNumberFormat="1" applyBorder="1" applyAlignment="1" applyProtection="1">
      <alignment horizontal="right"/>
      <protection locked="0"/>
    </xf>
    <xf numFmtId="2" fontId="0" fillId="5" borderId="52" xfId="0" applyNumberFormat="1" applyFill="1" applyBorder="1" applyAlignment="1">
      <alignment horizontal="left"/>
    </xf>
    <xf numFmtId="2" fontId="0" fillId="5" borderId="52" xfId="0" applyNumberFormat="1" applyFill="1" applyBorder="1" applyAlignment="1">
      <alignment horizontal="right"/>
    </xf>
    <xf numFmtId="2" fontId="5" fillId="2" borderId="52" xfId="0" applyNumberFormat="1" applyFont="1" applyFill="1" applyBorder="1" applyAlignment="1">
      <alignment horizontal="right"/>
    </xf>
    <xf numFmtId="2" fontId="0" fillId="16" borderId="52" xfId="0" applyNumberFormat="1" applyFill="1" applyBorder="1" applyAlignment="1">
      <alignment horizontal="left"/>
    </xf>
    <xf numFmtId="165" fontId="0" fillId="16" borderId="52" xfId="0" applyNumberFormat="1" applyFill="1" applyBorder="1" applyAlignment="1">
      <alignment horizontal="right"/>
    </xf>
    <xf numFmtId="165" fontId="0" fillId="5" borderId="52" xfId="0" applyNumberFormat="1" applyFill="1" applyBorder="1" applyAlignment="1">
      <alignment horizontal="right"/>
    </xf>
    <xf numFmtId="0" fontId="0" fillId="6" borderId="112" xfId="0" applyFill="1" applyBorder="1"/>
    <xf numFmtId="0" fontId="0" fillId="6" borderId="113" xfId="0" applyFill="1" applyBorder="1"/>
    <xf numFmtId="0" fontId="0" fillId="6" borderId="114" xfId="0" applyFill="1" applyBorder="1"/>
    <xf numFmtId="0" fontId="0" fillId="6" borderId="115" xfId="0" applyFill="1" applyBorder="1"/>
    <xf numFmtId="0" fontId="0" fillId="6" borderId="0" xfId="0" applyFill="1"/>
    <xf numFmtId="0" fontId="0" fillId="6" borderId="116" xfId="0" applyFill="1" applyBorder="1"/>
    <xf numFmtId="0" fontId="0" fillId="6" borderId="117" xfId="0" applyFill="1" applyBorder="1"/>
    <xf numFmtId="0" fontId="0" fillId="6" borderId="118" xfId="0" applyFill="1" applyBorder="1"/>
    <xf numFmtId="0" fontId="0" fillId="6" borderId="119" xfId="0" applyFill="1" applyBorder="1"/>
    <xf numFmtId="0" fontId="0" fillId="4" borderId="52" xfId="0" applyFill="1" applyBorder="1"/>
    <xf numFmtId="164" fontId="0" fillId="0" borderId="52" xfId="0" applyNumberFormat="1" applyBorder="1" applyAlignment="1" applyProtection="1">
      <alignment horizontal="right"/>
      <protection locked="0"/>
    </xf>
    <xf numFmtId="0" fontId="0" fillId="5" borderId="52" xfId="0" applyFill="1" applyBorder="1"/>
    <xf numFmtId="164" fontId="0" fillId="5" borderId="52" xfId="0" applyNumberFormat="1" applyFill="1" applyBorder="1" applyAlignment="1">
      <alignment horizontal="right"/>
    </xf>
    <xf numFmtId="0" fontId="24" fillId="4" borderId="52" xfId="0" applyFont="1" applyFill="1" applyBorder="1"/>
    <xf numFmtId="2" fontId="24" fillId="4" borderId="52" xfId="0" applyNumberFormat="1" applyFont="1" applyFill="1" applyBorder="1" applyAlignment="1">
      <alignment horizontal="right"/>
    </xf>
    <xf numFmtId="0" fontId="0" fillId="4" borderId="52" xfId="0" applyFill="1" applyBorder="1" applyAlignment="1">
      <alignment horizontal="right"/>
    </xf>
    <xf numFmtId="2" fontId="0" fillId="9" borderId="52" xfId="0" applyNumberFormat="1" applyFill="1" applyBorder="1" applyAlignment="1">
      <alignment horizontal="right"/>
    </xf>
    <xf numFmtId="2" fontId="4" fillId="10" borderId="52" xfId="0" applyNumberFormat="1" applyFont="1" applyFill="1" applyBorder="1" applyAlignment="1">
      <alignment horizontal="right" vertical="top" wrapText="1"/>
    </xf>
    <xf numFmtId="2" fontId="3" fillId="2" borderId="52" xfId="0" applyNumberFormat="1" applyFont="1" applyFill="1" applyBorder="1" applyAlignment="1">
      <alignment horizontal="right" vertical="top"/>
    </xf>
    <xf numFmtId="165" fontId="1" fillId="10" borderId="52" xfId="0" applyNumberFormat="1" applyFont="1" applyFill="1" applyBorder="1" applyAlignment="1">
      <alignment horizontal="right"/>
    </xf>
    <xf numFmtId="2" fontId="0" fillId="0" borderId="118" xfId="0" applyNumberFormat="1" applyBorder="1" applyAlignment="1">
      <alignment wrapText="1"/>
    </xf>
    <xf numFmtId="2" fontId="2" fillId="6" borderId="0" xfId="0" applyNumberFormat="1" applyFont="1" applyFill="1" applyAlignment="1">
      <alignment horizontal="center" wrapText="1"/>
    </xf>
    <xf numFmtId="165" fontId="0" fillId="6" borderId="52" xfId="0" applyNumberFormat="1" applyFill="1" applyBorder="1" applyAlignment="1" applyProtection="1">
      <alignment wrapText="1"/>
      <protection locked="0"/>
    </xf>
    <xf numFmtId="2" fontId="0" fillId="3" borderId="52" xfId="0" applyNumberFormat="1" applyFill="1" applyBorder="1" applyAlignment="1">
      <alignment horizontal="left" vertical="top" wrapText="1"/>
    </xf>
    <xf numFmtId="2" fontId="0" fillId="0" borderId="52" xfId="0" applyNumberFormat="1" applyBorder="1" applyAlignment="1" applyProtection="1">
      <alignment wrapText="1"/>
      <protection locked="0"/>
    </xf>
    <xf numFmtId="165" fontId="0" fillId="0" borderId="52" xfId="0" applyNumberFormat="1" applyBorder="1" applyAlignment="1" applyProtection="1">
      <alignment wrapText="1"/>
      <protection locked="0"/>
    </xf>
    <xf numFmtId="2" fontId="0" fillId="5" borderId="52" xfId="0" applyNumberFormat="1" applyFill="1" applyBorder="1" applyAlignment="1">
      <alignment horizontal="left" vertical="top" wrapText="1"/>
    </xf>
    <xf numFmtId="165" fontId="0" fillId="5" borderId="52" xfId="0" applyNumberFormat="1" applyFill="1" applyBorder="1" applyAlignment="1">
      <alignment wrapText="1"/>
    </xf>
    <xf numFmtId="165" fontId="24" fillId="3" borderId="52" xfId="0" applyNumberFormat="1" applyFont="1" applyFill="1" applyBorder="1" applyAlignment="1">
      <alignment wrapText="1"/>
    </xf>
    <xf numFmtId="165" fontId="1" fillId="3" borderId="52" xfId="0" applyNumberFormat="1" applyFont="1" applyFill="1" applyBorder="1" applyAlignment="1">
      <alignment wrapText="1"/>
    </xf>
    <xf numFmtId="2" fontId="0" fillId="3" borderId="52" xfId="0" applyNumberFormat="1" applyFill="1" applyBorder="1" applyAlignment="1">
      <alignment horizontal="left" vertical="center" wrapText="1"/>
    </xf>
    <xf numFmtId="2" fontId="0" fillId="9" borderId="52" xfId="0" applyNumberFormat="1" applyFill="1" applyBorder="1" applyAlignment="1">
      <alignment horizontal="left" vertical="center" wrapText="1"/>
    </xf>
    <xf numFmtId="165" fontId="1" fillId="9" borderId="52" xfId="0" applyNumberFormat="1" applyFont="1" applyFill="1" applyBorder="1" applyAlignment="1">
      <alignment wrapText="1"/>
    </xf>
    <xf numFmtId="2" fontId="1" fillId="10" borderId="52" xfId="0" applyNumberFormat="1" applyFont="1" applyFill="1" applyBorder="1" applyAlignment="1">
      <alignment horizontal="left" vertical="center" wrapText="1"/>
    </xf>
    <xf numFmtId="165" fontId="4" fillId="10" borderId="52" xfId="0" applyNumberFormat="1" applyFont="1" applyFill="1" applyBorder="1" applyAlignment="1">
      <alignment wrapText="1"/>
    </xf>
    <xf numFmtId="2" fontId="0" fillId="2" borderId="52" xfId="0" applyNumberFormat="1" applyFill="1" applyBorder="1" applyAlignment="1">
      <alignment vertical="center" wrapText="1"/>
    </xf>
    <xf numFmtId="165" fontId="3" fillId="2" borderId="52" xfId="0" applyNumberFormat="1" applyFont="1" applyFill="1" applyBorder="1" applyAlignment="1">
      <alignment wrapText="1"/>
    </xf>
    <xf numFmtId="2" fontId="0" fillId="0" borderId="117" xfId="0" applyNumberFormat="1" applyBorder="1" applyAlignment="1">
      <alignment wrapText="1"/>
    </xf>
    <xf numFmtId="2" fontId="0" fillId="0" borderId="52" xfId="0" applyNumberFormat="1" applyBorder="1" applyAlignment="1" applyProtection="1">
      <alignment horizontal="right" vertical="center"/>
      <protection locked="0"/>
    </xf>
    <xf numFmtId="2" fontId="0" fillId="3" borderId="52" xfId="0" applyNumberFormat="1" applyFill="1" applyBorder="1" applyAlignment="1">
      <alignment wrapText="1"/>
    </xf>
    <xf numFmtId="2" fontId="24" fillId="3" borderId="52" xfId="0" applyNumberFormat="1" applyFont="1" applyFill="1" applyBorder="1" applyAlignment="1">
      <alignment horizontal="left" wrapText="1"/>
    </xf>
    <xf numFmtId="2" fontId="24" fillId="3" borderId="52" xfId="0" applyNumberFormat="1" applyFont="1" applyFill="1" applyBorder="1" applyAlignment="1">
      <alignment horizontal="right" vertical="center" wrapText="1"/>
    </xf>
    <xf numFmtId="2" fontId="1" fillId="3" borderId="52" xfId="0" applyNumberFormat="1" applyFont="1" applyFill="1" applyBorder="1" applyAlignment="1">
      <alignment horizontal="right" vertical="center"/>
    </xf>
    <xf numFmtId="2" fontId="1" fillId="9" borderId="52" xfId="0" applyNumberFormat="1" applyFont="1" applyFill="1" applyBorder="1" applyAlignment="1">
      <alignment horizontal="right" vertical="center"/>
    </xf>
    <xf numFmtId="2" fontId="5" fillId="2" borderId="52" xfId="0" applyNumberFormat="1" applyFont="1" applyFill="1" applyBorder="1" applyAlignment="1">
      <alignment horizontal="right" vertical="center"/>
    </xf>
    <xf numFmtId="2" fontId="0" fillId="5" borderId="52" xfId="0" applyNumberFormat="1" applyFill="1" applyBorder="1" applyAlignment="1">
      <alignment wrapText="1"/>
    </xf>
    <xf numFmtId="2" fontId="0" fillId="5" borderId="52" xfId="0" applyNumberFormat="1" applyFill="1" applyBorder="1" applyAlignment="1">
      <alignment horizontal="right" vertical="center"/>
    </xf>
    <xf numFmtId="0" fontId="7" fillId="5" borderId="52" xfId="0" applyFont="1" applyFill="1" applyBorder="1" applyAlignment="1">
      <alignment horizontal="center" vertical="center" wrapText="1"/>
    </xf>
    <xf numFmtId="2" fontId="0" fillId="3" borderId="52" xfId="0" applyNumberFormat="1" applyFill="1" applyBorder="1"/>
    <xf numFmtId="166" fontId="1" fillId="3" borderId="52" xfId="0" applyNumberFormat="1" applyFont="1" applyFill="1" applyBorder="1" applyAlignment="1">
      <alignment horizontal="center"/>
    </xf>
    <xf numFmtId="2" fontId="0" fillId="6" borderId="52" xfId="0" applyNumberFormat="1" applyFill="1" applyBorder="1" applyAlignment="1" applyProtection="1">
      <alignment wrapText="1"/>
      <protection locked="0"/>
    </xf>
    <xf numFmtId="2" fontId="0" fillId="3" borderId="52" xfId="0" applyNumberFormat="1" applyFill="1" applyBorder="1" applyAlignment="1">
      <alignment vertical="top" wrapText="1"/>
    </xf>
    <xf numFmtId="2" fontId="0" fillId="5" borderId="52" xfId="0" applyNumberFormat="1" applyFill="1" applyBorder="1" applyAlignment="1">
      <alignment vertical="top" wrapText="1"/>
    </xf>
    <xf numFmtId="2" fontId="24" fillId="3" borderId="52" xfId="0" applyNumberFormat="1" applyFont="1" applyFill="1" applyBorder="1"/>
    <xf numFmtId="2" fontId="24" fillId="3" borderId="52" xfId="0" applyNumberFormat="1" applyFont="1" applyFill="1" applyBorder="1" applyAlignment="1">
      <alignment wrapText="1"/>
    </xf>
    <xf numFmtId="2" fontId="1" fillId="3" borderId="52" xfId="0" applyNumberFormat="1" applyFont="1" applyFill="1" applyBorder="1" applyAlignment="1">
      <alignment wrapText="1"/>
    </xf>
    <xf numFmtId="2" fontId="0" fillId="3" borderId="52" xfId="0" applyNumberFormat="1" applyFill="1" applyBorder="1" applyAlignment="1">
      <alignment vertical="center" wrapText="1"/>
    </xf>
    <xf numFmtId="166" fontId="1" fillId="3" borderId="52" xfId="0" applyNumberFormat="1" applyFont="1" applyFill="1" applyBorder="1" applyAlignment="1">
      <alignment wrapText="1"/>
    </xf>
    <xf numFmtId="2" fontId="0" fillId="9" borderId="52" xfId="0" applyNumberFormat="1" applyFill="1" applyBorder="1" applyAlignment="1">
      <alignment vertical="center" wrapText="1"/>
    </xf>
    <xf numFmtId="2" fontId="1" fillId="9" borderId="52" xfId="0" applyNumberFormat="1" applyFont="1" applyFill="1" applyBorder="1" applyAlignment="1">
      <alignment wrapText="1"/>
    </xf>
    <xf numFmtId="2" fontId="1" fillId="10" borderId="52" xfId="0" applyNumberFormat="1" applyFont="1" applyFill="1" applyBorder="1" applyAlignment="1">
      <alignment vertical="center" wrapText="1"/>
    </xf>
    <xf numFmtId="2" fontId="4" fillId="10" borderId="52" xfId="0" applyNumberFormat="1" applyFont="1" applyFill="1" applyBorder="1" applyAlignment="1">
      <alignment wrapText="1"/>
    </xf>
    <xf numFmtId="2" fontId="3" fillId="2" borderId="52" xfId="0" applyNumberFormat="1" applyFont="1" applyFill="1" applyBorder="1" applyAlignment="1">
      <alignment wrapText="1"/>
    </xf>
    <xf numFmtId="2" fontId="3" fillId="6" borderId="0" xfId="0" applyNumberFormat="1" applyFont="1" applyFill="1" applyAlignment="1">
      <alignment horizontal="center" vertical="top"/>
    </xf>
    <xf numFmtId="2" fontId="24" fillId="3" borderId="52" xfId="0" applyNumberFormat="1" applyFont="1" applyFill="1" applyBorder="1" applyAlignment="1">
      <alignment horizontal="right"/>
    </xf>
    <xf numFmtId="0" fontId="3" fillId="6" borderId="116" xfId="0" applyFont="1" applyFill="1" applyBorder="1" applyAlignment="1">
      <alignment vertical="top"/>
    </xf>
    <xf numFmtId="0" fontId="0" fillId="3" borderId="52" xfId="0" applyFill="1" applyBorder="1"/>
    <xf numFmtId="165" fontId="0" fillId="0" borderId="52" xfId="0" applyNumberFormat="1" applyBorder="1" applyAlignment="1" applyProtection="1">
      <alignment horizontal="center"/>
      <protection locked="0"/>
    </xf>
    <xf numFmtId="0" fontId="0" fillId="3" borderId="52" xfId="0" applyFill="1" applyBorder="1" applyAlignment="1">
      <alignment horizontal="left" vertical="top" wrapText="1"/>
    </xf>
    <xf numFmtId="165" fontId="0" fillId="6" borderId="52" xfId="0" applyNumberFormat="1" applyFill="1" applyBorder="1" applyAlignment="1" applyProtection="1">
      <alignment horizontal="center" vertical="center"/>
      <protection locked="0"/>
    </xf>
    <xf numFmtId="2" fontId="1" fillId="6" borderId="116" xfId="0" applyNumberFormat="1" applyFont="1" applyFill="1" applyBorder="1" applyAlignment="1">
      <alignment horizontal="left" vertical="center" wrapText="1"/>
    </xf>
    <xf numFmtId="2" fontId="0" fillId="0" borderId="115" xfId="0" applyNumberFormat="1" applyBorder="1" applyAlignment="1">
      <alignment wrapText="1"/>
    </xf>
    <xf numFmtId="2" fontId="0" fillId="13" borderId="52" xfId="0" applyNumberFormat="1" applyFill="1" applyBorder="1" applyAlignment="1">
      <alignment vertical="center" wrapText="1"/>
    </xf>
    <xf numFmtId="2" fontId="3" fillId="13" borderId="52" xfId="0" applyNumberFormat="1" applyFont="1" applyFill="1" applyBorder="1" applyAlignment="1">
      <alignment wrapText="1"/>
    </xf>
    <xf numFmtId="166" fontId="0" fillId="0" borderId="52" xfId="0" applyNumberFormat="1" applyBorder="1" applyAlignment="1" applyProtection="1">
      <alignment horizontal="right"/>
      <protection locked="0"/>
    </xf>
    <xf numFmtId="0" fontId="24" fillId="4" borderId="52" xfId="0" applyFont="1" applyFill="1" applyBorder="1" applyAlignment="1">
      <alignment horizontal="right"/>
    </xf>
    <xf numFmtId="2" fontId="9" fillId="2" borderId="52" xfId="0" applyNumberFormat="1" applyFont="1" applyFill="1" applyBorder="1" applyAlignment="1">
      <alignment horizontal="left" vertical="top"/>
    </xf>
    <xf numFmtId="2" fontId="18" fillId="2" borderId="52" xfId="0" applyNumberFormat="1" applyFont="1" applyFill="1" applyBorder="1" applyAlignment="1">
      <alignment horizontal="left" vertical="top"/>
    </xf>
    <xf numFmtId="2" fontId="10" fillId="2" borderId="52" xfId="0" applyNumberFormat="1" applyFont="1" applyFill="1" applyBorder="1" applyAlignment="1">
      <alignment horizontal="right" vertical="top"/>
    </xf>
    <xf numFmtId="166" fontId="0" fillId="5" borderId="52" xfId="0" applyNumberFormat="1" applyFill="1" applyBorder="1" applyAlignment="1">
      <alignment horizontal="right"/>
    </xf>
    <xf numFmtId="2" fontId="23" fillId="5" borderId="52" xfId="0" applyNumberFormat="1" applyFont="1" applyFill="1" applyBorder="1" applyAlignment="1">
      <alignment horizontal="left"/>
    </xf>
    <xf numFmtId="165" fontId="23" fillId="5" borderId="52" xfId="0" applyNumberFormat="1" applyFont="1" applyFill="1" applyBorder="1" applyAlignment="1">
      <alignment horizontal="right"/>
    </xf>
    <xf numFmtId="165" fontId="3" fillId="13" borderId="52" xfId="0" applyNumberFormat="1" applyFont="1" applyFill="1" applyBorder="1" applyAlignment="1">
      <alignment wrapText="1"/>
    </xf>
    <xf numFmtId="2" fontId="10" fillId="0" borderId="52" xfId="0" applyNumberFormat="1" applyFont="1" applyBorder="1" applyAlignment="1" applyProtection="1">
      <alignment horizontal="right"/>
      <protection locked="0"/>
    </xf>
    <xf numFmtId="2" fontId="20" fillId="0" borderId="52" xfId="0" applyNumberFormat="1" applyFont="1" applyBorder="1" applyAlignment="1" applyProtection="1">
      <alignment horizontal="right"/>
      <protection locked="0"/>
    </xf>
    <xf numFmtId="2" fontId="19" fillId="0" borderId="52" xfId="0" applyNumberFormat="1" applyFont="1" applyBorder="1" applyAlignment="1" applyProtection="1">
      <alignment horizontal="right"/>
      <protection locked="0"/>
    </xf>
    <xf numFmtId="0" fontId="19" fillId="5" borderId="52" xfId="0" applyFont="1" applyFill="1" applyBorder="1"/>
    <xf numFmtId="2" fontId="19" fillId="5" borderId="52" xfId="0" applyNumberFormat="1" applyFont="1" applyFill="1" applyBorder="1" applyAlignment="1">
      <alignment horizontal="right"/>
    </xf>
    <xf numFmtId="0" fontId="24" fillId="3" borderId="52" xfId="0" applyFont="1" applyFill="1" applyBorder="1"/>
    <xf numFmtId="0" fontId="0" fillId="20" borderId="52" xfId="0" applyFill="1" applyBorder="1"/>
    <xf numFmtId="0" fontId="10" fillId="20" borderId="52" xfId="0" applyFont="1" applyFill="1" applyBorder="1"/>
    <xf numFmtId="0" fontId="20" fillId="20" borderId="52" xfId="0" applyFont="1" applyFill="1" applyBorder="1"/>
    <xf numFmtId="0" fontId="19" fillId="20" borderId="52" xfId="0" applyFont="1" applyFill="1" applyBorder="1"/>
    <xf numFmtId="2" fontId="0" fillId="4" borderId="52" xfId="0" applyNumberFormat="1" applyFill="1" applyBorder="1" applyAlignment="1">
      <alignment horizontal="right"/>
    </xf>
    <xf numFmtId="1" fontId="24" fillId="3" borderId="52" xfId="0" applyNumberFormat="1" applyFont="1" applyFill="1" applyBorder="1" applyAlignment="1" applyProtection="1">
      <alignment horizontal="right"/>
      <protection locked="0"/>
    </xf>
    <xf numFmtId="166" fontId="0" fillId="0" borderId="52" xfId="0" applyNumberFormat="1" applyBorder="1" applyAlignment="1" applyProtection="1">
      <alignment wrapText="1"/>
      <protection locked="0"/>
    </xf>
    <xf numFmtId="2" fontId="4" fillId="3" borderId="52" xfId="0" applyNumberFormat="1" applyFont="1" applyFill="1" applyBorder="1" applyAlignment="1">
      <alignment horizontal="left"/>
    </xf>
    <xf numFmtId="2" fontId="4" fillId="3" borderId="52" xfId="0" applyNumberFormat="1" applyFont="1" applyFill="1" applyBorder="1" applyAlignment="1">
      <alignment wrapText="1"/>
    </xf>
    <xf numFmtId="165" fontId="24" fillId="4" borderId="52" xfId="0" applyNumberFormat="1" applyFont="1" applyFill="1" applyBorder="1" applyAlignment="1">
      <alignment horizontal="right"/>
    </xf>
    <xf numFmtId="165" fontId="4" fillId="10" borderId="52" xfId="0" applyNumberFormat="1" applyFont="1" applyFill="1" applyBorder="1" applyAlignment="1">
      <alignment horizontal="right"/>
    </xf>
    <xf numFmtId="2" fontId="0" fillId="0" borderId="116" xfId="0" applyNumberFormat="1" applyBorder="1"/>
    <xf numFmtId="2" fontId="1" fillId="10" borderId="52" xfId="0" applyNumberFormat="1" applyFont="1" applyFill="1" applyBorder="1" applyAlignment="1">
      <alignment horizontal="left" vertical="top" wrapText="1"/>
    </xf>
    <xf numFmtId="2" fontId="1" fillId="0" borderId="0" xfId="0" applyNumberFormat="1" applyFont="1"/>
    <xf numFmtId="2" fontId="1" fillId="0" borderId="118" xfId="0" applyNumberFormat="1" applyFont="1" applyBorder="1"/>
    <xf numFmtId="2" fontId="1" fillId="3" borderId="52" xfId="0" applyNumberFormat="1" applyFont="1" applyFill="1" applyBorder="1" applyAlignment="1">
      <alignment horizontal="right"/>
    </xf>
    <xf numFmtId="2" fontId="1" fillId="9" borderId="52" xfId="0" applyNumberFormat="1" applyFont="1" applyFill="1" applyBorder="1" applyAlignment="1">
      <alignment horizontal="right"/>
    </xf>
    <xf numFmtId="2" fontId="5" fillId="3" borderId="52" xfId="0" applyNumberFormat="1" applyFont="1" applyFill="1" applyBorder="1" applyAlignment="1">
      <alignment horizontal="right"/>
    </xf>
    <xf numFmtId="166" fontId="1" fillId="0" borderId="0" xfId="0" applyNumberFormat="1" applyFont="1" applyAlignment="1">
      <alignment vertical="center" wrapText="1"/>
    </xf>
    <xf numFmtId="0" fontId="3" fillId="6" borderId="116" xfId="0" applyFont="1" applyFill="1" applyBorder="1" applyAlignment="1">
      <alignment horizontal="center"/>
    </xf>
    <xf numFmtId="2" fontId="0" fillId="0" borderId="116" xfId="0" applyNumberFormat="1" applyBorder="1" applyAlignment="1" applyProtection="1">
      <alignment wrapText="1"/>
      <protection locked="0"/>
    </xf>
    <xf numFmtId="0" fontId="0" fillId="6" borderId="118" xfId="0" applyFill="1" applyBorder="1" applyAlignment="1">
      <alignment horizontal="center"/>
    </xf>
    <xf numFmtId="2" fontId="5" fillId="0" borderId="0" xfId="0" applyNumberFormat="1" applyFont="1" applyAlignment="1">
      <alignment vertical="center" wrapText="1"/>
    </xf>
    <xf numFmtId="2" fontId="0" fillId="0" borderId="52" xfId="0" applyNumberFormat="1" applyBorder="1" applyAlignment="1" applyProtection="1">
      <alignment horizontal="center"/>
      <protection locked="0"/>
    </xf>
    <xf numFmtId="2" fontId="32" fillId="3" borderId="52" xfId="0" applyNumberFormat="1" applyFont="1" applyFill="1" applyBorder="1" applyAlignment="1">
      <alignment horizontal="right"/>
    </xf>
    <xf numFmtId="2" fontId="4" fillId="3" borderId="52" xfId="0" applyNumberFormat="1" applyFont="1" applyFill="1" applyBorder="1" applyAlignment="1">
      <alignment horizontal="right"/>
    </xf>
    <xf numFmtId="2" fontId="5" fillId="2" borderId="52" xfId="0" applyNumberFormat="1" applyFont="1" applyFill="1" applyBorder="1" applyAlignment="1">
      <alignment horizontal="center" wrapText="1"/>
    </xf>
    <xf numFmtId="0" fontId="0" fillId="2" borderId="52" xfId="0" applyFill="1" applyBorder="1" applyAlignment="1">
      <alignment horizontal="center" vertical="center"/>
    </xf>
    <xf numFmtId="0" fontId="3" fillId="2" borderId="52" xfId="0" applyFont="1" applyFill="1" applyBorder="1" applyAlignment="1">
      <alignment horizontal="center" vertical="center"/>
    </xf>
    <xf numFmtId="0" fontId="0" fillId="0" borderId="52" xfId="0" applyBorder="1" applyAlignment="1" applyProtection="1">
      <alignment horizontal="center"/>
      <protection locked="0"/>
    </xf>
    <xf numFmtId="165" fontId="3" fillId="3" borderId="52" xfId="0" applyNumberFormat="1" applyFont="1" applyFill="1" applyBorder="1" applyAlignment="1">
      <alignment horizontal="center"/>
    </xf>
    <xf numFmtId="2" fontId="0" fillId="2" borderId="52" xfId="0" applyNumberFormat="1" applyFill="1" applyBorder="1" applyAlignment="1" applyProtection="1">
      <alignment horizontal="center"/>
      <protection locked="0"/>
    </xf>
    <xf numFmtId="166" fontId="3" fillId="2" borderId="52" xfId="0" applyNumberFormat="1" applyFont="1" applyFill="1" applyBorder="1" applyAlignment="1">
      <alignment horizontal="center"/>
    </xf>
    <xf numFmtId="2" fontId="5" fillId="3" borderId="52" xfId="0" applyNumberFormat="1" applyFont="1" applyFill="1" applyBorder="1" applyAlignment="1">
      <alignment horizontal="left"/>
    </xf>
    <xf numFmtId="2" fontId="3" fillId="6" borderId="0" xfId="0" applyNumberFormat="1" applyFont="1" applyFill="1" applyAlignment="1">
      <alignment horizontal="center" wrapText="1"/>
    </xf>
    <xf numFmtId="2" fontId="0" fillId="6" borderId="0" xfId="0" applyNumberFormat="1" applyFill="1" applyAlignment="1">
      <alignment horizontal="center" wrapText="1"/>
    </xf>
    <xf numFmtId="166" fontId="0" fillId="0" borderId="52" xfId="0" applyNumberFormat="1" applyBorder="1" applyProtection="1">
      <protection locked="0"/>
    </xf>
    <xf numFmtId="2" fontId="4" fillId="3" borderId="52" xfId="0" applyNumberFormat="1" applyFont="1" applyFill="1" applyBorder="1" applyAlignment="1">
      <alignment horizontal="left" vertical="center" wrapText="1"/>
    </xf>
    <xf numFmtId="2" fontId="4" fillId="5" borderId="52" xfId="0" applyNumberFormat="1" applyFont="1" applyFill="1" applyBorder="1" applyAlignment="1">
      <alignment horizontal="left" vertical="center"/>
    </xf>
    <xf numFmtId="164" fontId="4" fillId="5" borderId="52" xfId="0" applyNumberFormat="1" applyFont="1" applyFill="1" applyBorder="1" applyAlignment="1">
      <alignment wrapText="1"/>
    </xf>
    <xf numFmtId="1" fontId="4" fillId="3" borderId="52" xfId="0" applyNumberFormat="1" applyFont="1" applyFill="1" applyBorder="1" applyAlignment="1">
      <alignment wrapText="1"/>
    </xf>
    <xf numFmtId="0" fontId="0" fillId="3" borderId="52" xfId="0" applyFill="1" applyBorder="1" applyAlignment="1">
      <alignment horizontal="center" vertical="center"/>
    </xf>
    <xf numFmtId="0" fontId="3" fillId="3" borderId="52" xfId="0" applyFont="1" applyFill="1" applyBorder="1" applyAlignment="1">
      <alignment horizontal="center" vertical="center"/>
    </xf>
    <xf numFmtId="166" fontId="3" fillId="3" borderId="52" xfId="0" applyNumberFormat="1" applyFont="1" applyFill="1" applyBorder="1" applyAlignment="1">
      <alignment horizontal="center"/>
    </xf>
    <xf numFmtId="1" fontId="0" fillId="3" borderId="52" xfId="0" applyNumberFormat="1" applyFill="1" applyBorder="1" applyAlignment="1">
      <alignment horizontal="right"/>
    </xf>
    <xf numFmtId="0" fontId="0" fillId="20" borderId="52" xfId="0" applyFill="1" applyBorder="1" applyAlignment="1" applyProtection="1">
      <alignment horizontal="center"/>
      <protection locked="0"/>
    </xf>
    <xf numFmtId="1" fontId="4" fillId="3" borderId="52" xfId="0" applyNumberFormat="1" applyFont="1" applyFill="1" applyBorder="1" applyAlignment="1">
      <alignment horizontal="right"/>
    </xf>
    <xf numFmtId="166" fontId="4" fillId="6" borderId="52" xfId="0" applyNumberFormat="1" applyFont="1" applyFill="1" applyBorder="1" applyAlignment="1" applyProtection="1">
      <alignment wrapText="1"/>
      <protection locked="0"/>
    </xf>
    <xf numFmtId="2" fontId="0" fillId="0" borderId="116" xfId="0" applyNumberFormat="1" applyBorder="1" applyAlignment="1">
      <alignment wrapText="1"/>
    </xf>
    <xf numFmtId="2" fontId="4" fillId="5" borderId="52" xfId="0" applyNumberFormat="1" applyFont="1" applyFill="1" applyBorder="1" applyAlignment="1">
      <alignment horizontal="left"/>
    </xf>
    <xf numFmtId="165" fontId="0" fillId="6" borderId="116" xfId="0" applyNumberFormat="1" applyFill="1" applyBorder="1" applyAlignment="1" applyProtection="1">
      <alignment horizontal="right"/>
      <protection locked="0"/>
    </xf>
    <xf numFmtId="1" fontId="0" fillId="0" borderId="116" xfId="0" applyNumberFormat="1" applyBorder="1" applyAlignment="1" applyProtection="1">
      <alignment horizontal="right"/>
      <protection locked="0"/>
    </xf>
    <xf numFmtId="2" fontId="0" fillId="0" borderId="118" xfId="0" applyNumberFormat="1" applyBorder="1"/>
    <xf numFmtId="2" fontId="0" fillId="0" borderId="118" xfId="0" applyNumberFormat="1" applyBorder="1" applyAlignment="1">
      <alignment horizontal="left"/>
    </xf>
    <xf numFmtId="165" fontId="0" fillId="0" borderId="119" xfId="0" applyNumberFormat="1" applyBorder="1" applyAlignment="1" applyProtection="1">
      <alignment horizontal="right"/>
      <protection locked="0"/>
    </xf>
    <xf numFmtId="1" fontId="1" fillId="3" borderId="52" xfId="0" applyNumberFormat="1" applyFont="1" applyFill="1" applyBorder="1" applyAlignment="1">
      <alignment horizontal="right"/>
    </xf>
    <xf numFmtId="0" fontId="4" fillId="0" borderId="0" xfId="0" applyFont="1"/>
    <xf numFmtId="0" fontId="38" fillId="0" borderId="0" xfId="0" applyFont="1"/>
    <xf numFmtId="2" fontId="4" fillId="3" borderId="52" xfId="0" applyNumberFormat="1" applyFont="1" applyFill="1" applyBorder="1"/>
    <xf numFmtId="2" fontId="4" fillId="0" borderId="52" xfId="0" applyNumberFormat="1" applyFont="1" applyBorder="1" applyAlignment="1" applyProtection="1">
      <alignment wrapText="1"/>
      <protection locked="0"/>
    </xf>
    <xf numFmtId="2" fontId="0" fillId="5" borderId="52" xfId="0" applyNumberFormat="1" applyFill="1" applyBorder="1"/>
    <xf numFmtId="2" fontId="1" fillId="5" borderId="52" xfId="0" applyNumberFormat="1" applyFont="1" applyFill="1" applyBorder="1" applyAlignment="1">
      <alignment wrapText="1"/>
    </xf>
    <xf numFmtId="2" fontId="1" fillId="3" borderId="52" xfId="0" applyNumberFormat="1" applyFont="1" applyFill="1" applyBorder="1"/>
    <xf numFmtId="166" fontId="41" fillId="0" borderId="0" xfId="0" applyNumberFormat="1" applyFont="1" applyAlignment="1">
      <alignment vertical="center" wrapText="1"/>
    </xf>
    <xf numFmtId="0" fontId="4" fillId="0" borderId="0" xfId="0" applyFont="1" applyAlignment="1">
      <alignment vertical="center"/>
    </xf>
    <xf numFmtId="0" fontId="1" fillId="0" borderId="0" xfId="0" applyFont="1" applyAlignment="1">
      <alignment vertical="center" wrapText="1"/>
    </xf>
    <xf numFmtId="1" fontId="0" fillId="6" borderId="116" xfId="0" applyNumberFormat="1" applyFill="1" applyBorder="1" applyAlignment="1" applyProtection="1">
      <alignment horizontal="right"/>
      <protection locked="0"/>
    </xf>
    <xf numFmtId="1" fontId="0" fillId="6" borderId="116" xfId="0" applyNumberFormat="1" applyFill="1" applyBorder="1" applyAlignment="1">
      <alignment horizontal="right"/>
    </xf>
    <xf numFmtId="165" fontId="1" fillId="6" borderId="116" xfId="0" applyNumberFormat="1" applyFont="1" applyFill="1" applyBorder="1" applyAlignment="1">
      <alignment horizontal="right"/>
    </xf>
    <xf numFmtId="165" fontId="5" fillId="6" borderId="116" xfId="0" applyNumberFormat="1" applyFont="1" applyFill="1" applyBorder="1" applyAlignment="1">
      <alignment horizontal="right"/>
    </xf>
    <xf numFmtId="2" fontId="15" fillId="6" borderId="116" xfId="0" applyNumberFormat="1" applyFont="1" applyFill="1" applyBorder="1" applyAlignment="1">
      <alignment vertical="top"/>
    </xf>
    <xf numFmtId="165" fontId="4" fillId="6" borderId="52" xfId="0" applyNumberFormat="1" applyFont="1" applyFill="1" applyBorder="1" applyAlignment="1" applyProtection="1">
      <alignment horizontal="right"/>
      <protection locked="0"/>
    </xf>
    <xf numFmtId="165" fontId="2" fillId="3" borderId="52" xfId="0" applyNumberFormat="1" applyFont="1" applyFill="1" applyBorder="1" applyAlignment="1">
      <alignment horizontal="right"/>
    </xf>
    <xf numFmtId="165" fontId="4" fillId="0" borderId="52" xfId="0" applyNumberFormat="1" applyFont="1" applyBorder="1" applyAlignment="1" applyProtection="1">
      <alignment horizontal="right"/>
      <protection locked="0"/>
    </xf>
    <xf numFmtId="165" fontId="0" fillId="5" borderId="52" xfId="0" applyNumberFormat="1" applyFill="1" applyBorder="1" applyAlignment="1" applyProtection="1">
      <alignment horizontal="right"/>
      <protection locked="0"/>
    </xf>
    <xf numFmtId="2" fontId="0" fillId="3" borderId="45" xfId="0" applyNumberFormat="1" applyFill="1" applyBorder="1"/>
    <xf numFmtId="165" fontId="0" fillId="0" borderId="45" xfId="0" applyNumberFormat="1" applyBorder="1" applyProtection="1">
      <protection locked="0"/>
    </xf>
    <xf numFmtId="2" fontId="4" fillId="3" borderId="45" xfId="0" applyNumberFormat="1" applyFont="1" applyFill="1" applyBorder="1"/>
    <xf numFmtId="2" fontId="4" fillId="5" borderId="45" xfId="0" applyNumberFormat="1" applyFont="1" applyFill="1" applyBorder="1"/>
    <xf numFmtId="2" fontId="0" fillId="0" borderId="112" xfId="0" applyNumberFormat="1" applyBorder="1"/>
    <xf numFmtId="2" fontId="0" fillId="0" borderId="113" xfId="0" applyNumberFormat="1" applyBorder="1"/>
    <xf numFmtId="2" fontId="0" fillId="0" borderId="114" xfId="0" applyNumberFormat="1" applyBorder="1"/>
    <xf numFmtId="2" fontId="0" fillId="6" borderId="116" xfId="0" applyNumberFormat="1" applyFill="1" applyBorder="1" applyAlignment="1">
      <alignment horizontal="left" vertical="top"/>
    </xf>
    <xf numFmtId="2" fontId="0" fillId="0" borderId="115" xfId="0" applyNumberFormat="1" applyBorder="1"/>
    <xf numFmtId="0" fontId="0" fillId="6" borderId="135" xfId="0" applyFill="1" applyBorder="1"/>
    <xf numFmtId="0" fontId="0" fillId="6" borderId="136" xfId="0" applyFill="1" applyBorder="1"/>
    <xf numFmtId="0" fontId="0" fillId="6" borderId="137" xfId="0" applyFill="1" applyBorder="1"/>
    <xf numFmtId="0" fontId="0" fillId="6" borderId="138" xfId="0" applyFill="1" applyBorder="1"/>
    <xf numFmtId="0" fontId="0" fillId="6" borderId="139" xfId="0" applyFill="1" applyBorder="1"/>
    <xf numFmtId="0" fontId="0" fillId="6" borderId="138" xfId="0" applyFill="1" applyBorder="1" applyAlignment="1">
      <alignment horizontal="left" vertical="center"/>
    </xf>
    <xf numFmtId="0" fontId="0" fillId="6" borderId="0" xfId="0" applyFill="1" applyAlignment="1">
      <alignment horizontal="left" vertical="center"/>
    </xf>
    <xf numFmtId="0" fontId="0" fillId="6" borderId="139" xfId="0" applyFill="1" applyBorder="1" applyAlignment="1">
      <alignment horizontal="left" vertical="center"/>
    </xf>
    <xf numFmtId="165" fontId="0" fillId="6" borderId="0" xfId="0" applyNumberFormat="1" applyFill="1" applyAlignment="1" applyProtection="1">
      <alignment horizontal="center" vertical="center"/>
      <protection locked="0"/>
    </xf>
    <xf numFmtId="0" fontId="0" fillId="6" borderId="0" xfId="0" applyFill="1" applyAlignment="1">
      <alignment horizontal="center" vertical="center"/>
    </xf>
    <xf numFmtId="0" fontId="0" fillId="6" borderId="140" xfId="0" applyFill="1" applyBorder="1" applyAlignment="1">
      <alignment horizontal="left" vertical="center"/>
    </xf>
    <xf numFmtId="0" fontId="0" fillId="6" borderId="142" xfId="0" applyFill="1" applyBorder="1" applyAlignment="1">
      <alignment horizontal="left" vertical="center"/>
    </xf>
    <xf numFmtId="0" fontId="0" fillId="3" borderId="153" xfId="0" applyFill="1" applyBorder="1" applyAlignment="1">
      <alignment horizontal="left" vertical="center" wrapText="1"/>
    </xf>
    <xf numFmtId="0" fontId="10" fillId="6" borderId="141" xfId="0" applyFont="1" applyFill="1" applyBorder="1" applyAlignment="1">
      <alignment horizontal="center" vertical="center" wrapText="1"/>
    </xf>
    <xf numFmtId="0" fontId="0" fillId="6" borderId="76" xfId="0" applyFill="1" applyBorder="1" applyAlignment="1">
      <alignment horizontal="left" vertical="center"/>
    </xf>
    <xf numFmtId="0" fontId="5" fillId="3" borderId="45" xfId="0" applyFont="1" applyFill="1" applyBorder="1" applyAlignment="1">
      <alignment horizontal="center" vertical="center"/>
    </xf>
    <xf numFmtId="0" fontId="0" fillId="3" borderId="45" xfId="0" applyFill="1" applyBorder="1" applyAlignment="1">
      <alignment horizontal="left" vertical="center"/>
    </xf>
    <xf numFmtId="0" fontId="0" fillId="3" borderId="45" xfId="0" applyFill="1" applyBorder="1" applyAlignment="1">
      <alignment horizontal="center" vertical="center"/>
    </xf>
    <xf numFmtId="0" fontId="0" fillId="3" borderId="45" xfId="0" applyFill="1" applyBorder="1" applyAlignment="1">
      <alignment horizontal="left" vertical="center" wrapText="1"/>
    </xf>
    <xf numFmtId="0" fontId="4" fillId="6" borderId="0" xfId="0" applyFont="1" applyFill="1" applyAlignment="1">
      <alignment horizontal="left" vertical="center"/>
    </xf>
    <xf numFmtId="0" fontId="4" fillId="3" borderId="45" xfId="0" applyFont="1" applyFill="1" applyBorder="1" applyAlignment="1">
      <alignment horizontal="left" vertical="center"/>
    </xf>
    <xf numFmtId="165" fontId="0" fillId="6" borderId="45" xfId="0" applyNumberFormat="1" applyFill="1" applyBorder="1" applyAlignment="1" applyProtection="1">
      <alignment horizontal="center" vertical="center"/>
      <protection locked="0"/>
    </xf>
    <xf numFmtId="0" fontId="3" fillId="9" borderId="156" xfId="0" applyFont="1" applyFill="1" applyBorder="1"/>
    <xf numFmtId="0" fontId="3" fillId="9" borderId="157" xfId="0" applyFont="1" applyFill="1" applyBorder="1"/>
    <xf numFmtId="0" fontId="3" fillId="9" borderId="158" xfId="0" applyFont="1" applyFill="1" applyBorder="1"/>
    <xf numFmtId="0" fontId="3" fillId="3" borderId="159" xfId="0" applyFont="1" applyFill="1" applyBorder="1" applyAlignment="1">
      <alignment horizontal="left"/>
    </xf>
    <xf numFmtId="0" fontId="3" fillId="3" borderId="160" xfId="0" applyFont="1" applyFill="1" applyBorder="1" applyAlignment="1">
      <alignment horizontal="left"/>
    </xf>
    <xf numFmtId="0" fontId="4" fillId="3" borderId="154" xfId="0" applyFont="1" applyFill="1" applyBorder="1" applyAlignment="1">
      <alignment horizontal="left" wrapText="1"/>
    </xf>
    <xf numFmtId="0" fontId="3" fillId="9" borderId="156" xfId="0" applyFont="1" applyFill="1" applyBorder="1" applyAlignment="1">
      <alignment horizontal="left" vertical="center"/>
    </xf>
    <xf numFmtId="0" fontId="3" fillId="9" borderId="157" xfId="0" applyFont="1" applyFill="1" applyBorder="1" applyAlignment="1">
      <alignment horizontal="left" vertical="center"/>
    </xf>
    <xf numFmtId="0" fontId="3" fillId="9" borderId="158" xfId="0" applyFont="1" applyFill="1" applyBorder="1" applyAlignment="1">
      <alignment horizontal="left" vertical="center"/>
    </xf>
    <xf numFmtId="0" fontId="0" fillId="3" borderId="154" xfId="0" applyFill="1" applyBorder="1" applyAlignment="1">
      <alignment horizontal="left" vertical="center" wrapText="1"/>
    </xf>
    <xf numFmtId="0" fontId="5" fillId="3" borderId="45" xfId="0" applyFont="1" applyFill="1" applyBorder="1" applyAlignment="1">
      <alignment horizontal="left" vertical="center"/>
    </xf>
    <xf numFmtId="165" fontId="0" fillId="3" borderId="154" xfId="0" applyNumberFormat="1" applyFill="1" applyBorder="1" applyAlignment="1">
      <alignment horizontal="center" vertical="center" wrapText="1"/>
    </xf>
    <xf numFmtId="165" fontId="0" fillId="3" borderId="155" xfId="0" applyNumberFormat="1" applyFill="1" applyBorder="1" applyAlignment="1">
      <alignment horizontal="center"/>
    </xf>
    <xf numFmtId="0" fontId="4" fillId="3" borderId="161" xfId="0" applyFont="1" applyFill="1" applyBorder="1" applyAlignment="1">
      <alignment horizontal="left" wrapText="1"/>
    </xf>
    <xf numFmtId="0" fontId="4" fillId="3" borderId="162" xfId="0" applyFont="1" applyFill="1" applyBorder="1" applyAlignment="1">
      <alignment horizontal="left" wrapText="1"/>
    </xf>
    <xf numFmtId="0" fontId="0" fillId="3" borderId="161" xfId="0" applyFill="1" applyBorder="1" applyAlignment="1">
      <alignment horizontal="left" vertical="center" wrapText="1"/>
    </xf>
    <xf numFmtId="0" fontId="0" fillId="3" borderId="162" xfId="0" applyFill="1" applyBorder="1" applyAlignment="1">
      <alignment horizontal="left" vertical="center" wrapText="1"/>
    </xf>
    <xf numFmtId="0" fontId="0" fillId="0" borderId="137" xfId="0" applyBorder="1"/>
    <xf numFmtId="0" fontId="0" fillId="0" borderId="138" xfId="0" applyBorder="1"/>
    <xf numFmtId="0" fontId="0" fillId="0" borderId="139" xfId="0" applyBorder="1"/>
    <xf numFmtId="0" fontId="0" fillId="6" borderId="140" xfId="0" applyFill="1" applyBorder="1"/>
    <xf numFmtId="0" fontId="0" fillId="6" borderId="141" xfId="0" applyFill="1" applyBorder="1"/>
    <xf numFmtId="0" fontId="0" fillId="6" borderId="142" xfId="0" applyFill="1" applyBorder="1"/>
    <xf numFmtId="0" fontId="0" fillId="6" borderId="0" xfId="0" applyFill="1" applyAlignment="1">
      <alignment horizontal="left" vertical="top" wrapText="1"/>
    </xf>
    <xf numFmtId="0" fontId="0" fillId="6" borderId="141" xfId="0" applyFill="1" applyBorder="1" applyAlignment="1">
      <alignment horizontal="left"/>
    </xf>
    <xf numFmtId="0" fontId="0" fillId="6" borderId="141" xfId="0" applyFill="1" applyBorder="1" applyAlignment="1">
      <alignment horizontal="center"/>
    </xf>
    <xf numFmtId="0" fontId="0" fillId="3" borderId="45" xfId="0" applyFill="1" applyBorder="1" applyAlignment="1">
      <alignment horizontal="left"/>
    </xf>
    <xf numFmtId="0" fontId="0" fillId="3" borderId="45" xfId="0" applyFill="1" applyBorder="1" applyAlignment="1">
      <alignment horizontal="center"/>
    </xf>
    <xf numFmtId="0" fontId="0" fillId="0" borderId="45" xfId="0" applyBorder="1"/>
    <xf numFmtId="2" fontId="0" fillId="3" borderId="45" xfId="0" applyNumberFormat="1" applyFill="1" applyBorder="1" applyAlignment="1">
      <alignment horizontal="center"/>
    </xf>
    <xf numFmtId="0" fontId="20" fillId="3" borderId="45" xfId="0" applyFont="1" applyFill="1" applyBorder="1" applyAlignment="1">
      <alignment horizontal="center"/>
    </xf>
    <xf numFmtId="0" fontId="0" fillId="9" borderId="45" xfId="0" applyFill="1" applyBorder="1" applyAlignment="1">
      <alignment horizontal="center" vertical="center" wrapText="1"/>
    </xf>
    <xf numFmtId="0" fontId="0" fillId="9" borderId="45" xfId="0" applyFill="1" applyBorder="1" applyAlignment="1">
      <alignment horizontal="center" vertical="center"/>
    </xf>
    <xf numFmtId="0" fontId="8" fillId="6" borderId="139" xfId="0" applyFont="1" applyFill="1" applyBorder="1" applyAlignment="1">
      <alignment horizontal="center"/>
    </xf>
    <xf numFmtId="0" fontId="0" fillId="6" borderId="0" xfId="0" applyFill="1" applyAlignment="1">
      <alignment horizontal="left"/>
    </xf>
    <xf numFmtId="0" fontId="0" fillId="6" borderId="0" xfId="0" applyFill="1" applyAlignment="1">
      <alignment horizontal="center"/>
    </xf>
    <xf numFmtId="0" fontId="0" fillId="6" borderId="139" xfId="0" applyFill="1" applyBorder="1" applyAlignment="1">
      <alignment horizontal="center"/>
    </xf>
    <xf numFmtId="0" fontId="3" fillId="6" borderId="0" xfId="0" applyFont="1" applyFill="1" applyAlignment="1">
      <alignment horizontal="left"/>
    </xf>
    <xf numFmtId="0" fontId="0" fillId="6" borderId="0" xfId="0" applyFill="1" applyAlignment="1">
      <alignment vertical="top"/>
    </xf>
    <xf numFmtId="0" fontId="0" fillId="6" borderId="45" xfId="0" applyFill="1" applyBorder="1" applyAlignment="1" applyProtection="1">
      <alignment horizontal="center" vertical="center"/>
      <protection locked="0"/>
    </xf>
    <xf numFmtId="0" fontId="0" fillId="6" borderId="0" xfId="0" applyFill="1" applyAlignment="1">
      <alignment horizontal="center" vertical="top"/>
    </xf>
    <xf numFmtId="165" fontId="8" fillId="3" borderId="45" xfId="0" applyNumberFormat="1" applyFont="1" applyFill="1" applyBorder="1" applyAlignment="1">
      <alignment horizontal="center" vertical="center"/>
    </xf>
    <xf numFmtId="0" fontId="2" fillId="4" borderId="45" xfId="0" applyFont="1" applyFill="1" applyBorder="1" applyAlignment="1">
      <alignment horizontal="center" vertical="top"/>
    </xf>
    <xf numFmtId="0" fontId="4" fillId="3" borderId="45" xfId="0" applyFont="1" applyFill="1" applyBorder="1" applyAlignment="1">
      <alignment horizontal="center"/>
    </xf>
    <xf numFmtId="0" fontId="5" fillId="20" borderId="45" xfId="0" applyFont="1" applyFill="1" applyBorder="1" applyAlignment="1">
      <alignment horizontal="center" vertical="center"/>
    </xf>
    <xf numFmtId="0" fontId="5" fillId="4" borderId="45" xfId="0" applyFont="1" applyFill="1" applyBorder="1" applyAlignment="1">
      <alignment horizontal="center" vertical="top"/>
    </xf>
    <xf numFmtId="0" fontId="5" fillId="3" borderId="45" xfId="0" applyFont="1" applyFill="1" applyBorder="1" applyAlignment="1">
      <alignment horizontal="center"/>
    </xf>
    <xf numFmtId="0" fontId="5" fillId="6" borderId="0" xfId="0" applyFont="1" applyFill="1" applyAlignment="1">
      <alignment horizontal="center"/>
    </xf>
    <xf numFmtId="0" fontId="4" fillId="4" borderId="45" xfId="0" applyFont="1" applyFill="1" applyBorder="1"/>
    <xf numFmtId="165" fontId="0" fillId="0" borderId="45" xfId="0" applyNumberFormat="1" applyBorder="1" applyAlignment="1" applyProtection="1">
      <alignment horizontal="center"/>
      <protection locked="0"/>
    </xf>
    <xf numFmtId="0" fontId="0" fillId="4" borderId="45" xfId="0" applyFill="1" applyBorder="1" applyAlignment="1">
      <alignment horizontal="center"/>
    </xf>
    <xf numFmtId="0" fontId="3" fillId="3" borderId="45" xfId="0" applyFont="1" applyFill="1" applyBorder="1"/>
    <xf numFmtId="0" fontId="0" fillId="3" borderId="45" xfId="0" applyFill="1" applyBorder="1"/>
    <xf numFmtId="0" fontId="1" fillId="2" borderId="45" xfId="0" applyFont="1" applyFill="1" applyBorder="1" applyAlignment="1">
      <alignment horizontal="center"/>
    </xf>
    <xf numFmtId="0" fontId="1" fillId="4" borderId="45" xfId="0" applyFont="1" applyFill="1" applyBorder="1" applyAlignment="1">
      <alignment horizontal="center"/>
    </xf>
    <xf numFmtId="0" fontId="8" fillId="3" borderId="45" xfId="0" applyFont="1" applyFill="1" applyBorder="1"/>
    <xf numFmtId="165" fontId="1" fillId="2" borderId="45" xfId="0" applyNumberFormat="1" applyFont="1" applyFill="1" applyBorder="1" applyAlignment="1">
      <alignment horizontal="center"/>
    </xf>
    <xf numFmtId="0" fontId="0" fillId="0" borderId="45" xfId="0" applyBorder="1" applyAlignment="1" applyProtection="1">
      <alignment horizontal="center"/>
      <protection locked="0"/>
    </xf>
    <xf numFmtId="0" fontId="63" fillId="4" borderId="45" xfId="0" applyFont="1" applyFill="1" applyBorder="1" applyAlignment="1">
      <alignment horizontal="center"/>
    </xf>
    <xf numFmtId="0" fontId="17" fillId="4" borderId="45" xfId="0" applyFont="1" applyFill="1" applyBorder="1" applyAlignment="1">
      <alignment horizontal="center"/>
    </xf>
    <xf numFmtId="0" fontId="0" fillId="0" borderId="47" xfId="0" applyBorder="1"/>
    <xf numFmtId="2" fontId="0" fillId="0" borderId="45" xfId="0" applyNumberFormat="1" applyBorder="1"/>
    <xf numFmtId="2" fontId="0" fillId="0" borderId="46" xfId="0" applyNumberFormat="1" applyBorder="1"/>
    <xf numFmtId="2" fontId="0" fillId="0" borderId="166" xfId="0" applyNumberFormat="1" applyBorder="1"/>
    <xf numFmtId="2" fontId="0" fillId="0" borderId="135" xfId="0" applyNumberFormat="1" applyBorder="1"/>
    <xf numFmtId="0" fontId="79" fillId="9" borderId="45" xfId="0" applyFont="1" applyFill="1" applyBorder="1"/>
    <xf numFmtId="2" fontId="79" fillId="9" borderId="45" xfId="0" applyNumberFormat="1" applyFont="1" applyFill="1" applyBorder="1"/>
    <xf numFmtId="2" fontId="0" fillId="0" borderId="45" xfId="0" applyNumberFormat="1" applyBorder="1" applyAlignment="1" applyProtection="1">
      <alignment horizontal="center"/>
      <protection locked="0"/>
    </xf>
    <xf numFmtId="0" fontId="3" fillId="9" borderId="45" xfId="0" applyFont="1" applyFill="1" applyBorder="1" applyAlignment="1">
      <alignment horizontal="center" vertical="center"/>
    </xf>
    <xf numFmtId="166" fontId="3" fillId="9" borderId="45" xfId="0" applyNumberFormat="1" applyFont="1" applyFill="1" applyBorder="1" applyAlignment="1">
      <alignment horizontal="center"/>
    </xf>
    <xf numFmtId="0" fontId="46" fillId="6" borderId="135" xfId="0" applyFont="1" applyFill="1" applyBorder="1" applyAlignment="1">
      <alignment wrapText="1"/>
    </xf>
    <xf numFmtId="0" fontId="46" fillId="6" borderId="136" xfId="0" applyFont="1" applyFill="1" applyBorder="1" applyAlignment="1">
      <alignment wrapText="1"/>
    </xf>
    <xf numFmtId="0" fontId="46" fillId="6" borderId="136" xfId="0" applyFont="1" applyFill="1" applyBorder="1"/>
    <xf numFmtId="0" fontId="46" fillId="24" borderId="136" xfId="0" applyFont="1" applyFill="1" applyBorder="1"/>
    <xf numFmtId="0" fontId="46" fillId="24" borderId="136" xfId="0" applyFont="1" applyFill="1" applyBorder="1" applyAlignment="1">
      <alignment horizontal="center"/>
    </xf>
    <xf numFmtId="0" fontId="46" fillId="24" borderId="137" xfId="0" applyFont="1" applyFill="1" applyBorder="1"/>
    <xf numFmtId="0" fontId="46" fillId="24" borderId="138" xfId="0" applyFont="1" applyFill="1" applyBorder="1"/>
    <xf numFmtId="0" fontId="46" fillId="24" borderId="139" xfId="0" applyFont="1" applyFill="1" applyBorder="1"/>
    <xf numFmtId="0" fontId="46" fillId="24" borderId="0" xfId="0" applyFont="1" applyFill="1"/>
    <xf numFmtId="2" fontId="46" fillId="24" borderId="0" xfId="0" applyNumberFormat="1" applyFont="1" applyFill="1"/>
    <xf numFmtId="0" fontId="46" fillId="24" borderId="0" xfId="0" applyFont="1" applyFill="1" applyAlignment="1">
      <alignment horizontal="center"/>
    </xf>
    <xf numFmtId="2" fontId="46" fillId="24" borderId="0" xfId="0" applyNumberFormat="1" applyFont="1" applyFill="1" applyAlignment="1">
      <alignment horizontal="center"/>
    </xf>
    <xf numFmtId="0" fontId="46" fillId="24" borderId="141" xfId="0" applyFont="1" applyFill="1" applyBorder="1" applyAlignment="1">
      <alignment horizontal="center"/>
    </xf>
    <xf numFmtId="0" fontId="46" fillId="24" borderId="142" xfId="0" applyFont="1" applyFill="1" applyBorder="1"/>
    <xf numFmtId="0" fontId="46" fillId="6" borderId="138" xfId="0" applyFont="1" applyFill="1" applyBorder="1" applyAlignment="1">
      <alignment wrapText="1"/>
    </xf>
    <xf numFmtId="0" fontId="46" fillId="6" borderId="0" xfId="0" applyFont="1" applyFill="1"/>
    <xf numFmtId="0" fontId="46" fillId="0" borderId="140" xfId="0" applyFont="1" applyBorder="1"/>
    <xf numFmtId="0" fontId="46" fillId="0" borderId="141" xfId="0" applyFont="1" applyBorder="1"/>
    <xf numFmtId="0" fontId="46" fillId="0" borderId="141" xfId="0" applyFont="1" applyBorder="1" applyAlignment="1">
      <alignment horizontal="center"/>
    </xf>
    <xf numFmtId="0" fontId="46" fillId="0" borderId="142" xfId="0" applyFont="1" applyBorder="1"/>
    <xf numFmtId="2" fontId="46" fillId="0" borderId="45" xfId="0" applyNumberFormat="1" applyFont="1" applyBorder="1" applyAlignment="1" applyProtection="1">
      <alignment horizontal="center"/>
      <protection locked="0"/>
    </xf>
    <xf numFmtId="0" fontId="46" fillId="20" borderId="45" xfId="0" applyFont="1" applyFill="1" applyBorder="1" applyAlignment="1">
      <alignment horizontal="center"/>
    </xf>
    <xf numFmtId="2" fontId="51" fillId="0" borderId="45" xfId="0" applyNumberFormat="1" applyFont="1" applyBorder="1" applyAlignment="1" applyProtection="1">
      <alignment horizontal="center"/>
      <protection locked="0"/>
    </xf>
    <xf numFmtId="0" fontId="51" fillId="20" borderId="45" xfId="0" applyFont="1" applyFill="1" applyBorder="1" applyAlignment="1">
      <alignment horizontal="center"/>
    </xf>
    <xf numFmtId="2" fontId="60" fillId="13" borderId="45" xfId="0" applyNumberFormat="1" applyFont="1" applyFill="1" applyBorder="1" applyAlignment="1">
      <alignment horizontal="center"/>
    </xf>
    <xf numFmtId="0" fontId="57" fillId="20" borderId="45" xfId="0" applyFont="1" applyFill="1" applyBorder="1" applyAlignment="1">
      <alignment horizontal="center"/>
    </xf>
    <xf numFmtId="0" fontId="46" fillId="24" borderId="140" xfId="0" applyFont="1" applyFill="1" applyBorder="1" applyAlignment="1">
      <alignment horizontal="left"/>
    </xf>
    <xf numFmtId="0" fontId="46" fillId="24" borderId="141" xfId="0" applyFont="1" applyFill="1" applyBorder="1" applyAlignment="1">
      <alignment horizontal="left"/>
    </xf>
    <xf numFmtId="0" fontId="46" fillId="24" borderId="141" xfId="0" applyFont="1" applyFill="1" applyBorder="1"/>
    <xf numFmtId="2" fontId="46" fillId="20" borderId="45" xfId="0" applyNumberFormat="1" applyFont="1" applyFill="1" applyBorder="1" applyAlignment="1">
      <alignment horizontal="center"/>
    </xf>
    <xf numFmtId="0" fontId="46" fillId="24" borderId="135" xfId="0" applyFont="1" applyFill="1" applyBorder="1"/>
    <xf numFmtId="0" fontId="46" fillId="0" borderId="138" xfId="0" applyFont="1" applyBorder="1"/>
    <xf numFmtId="0" fontId="46" fillId="0" borderId="139" xfId="0" applyFont="1" applyBorder="1"/>
    <xf numFmtId="0" fontId="46" fillId="6" borderId="138" xfId="0" applyFont="1" applyFill="1" applyBorder="1"/>
    <xf numFmtId="0" fontId="46" fillId="6" borderId="139" xfId="0" applyFont="1" applyFill="1" applyBorder="1"/>
    <xf numFmtId="0" fontId="46" fillId="6" borderId="0" xfId="0" applyFont="1" applyFill="1" applyAlignment="1">
      <alignment vertical="center"/>
    </xf>
    <xf numFmtId="0" fontId="46" fillId="6" borderId="0" xfId="0" applyFont="1" applyFill="1" applyAlignment="1" applyProtection="1">
      <alignment vertical="center"/>
      <protection locked="0"/>
    </xf>
    <xf numFmtId="2" fontId="46" fillId="6" borderId="0" xfId="0" applyNumberFormat="1" applyFont="1" applyFill="1" applyAlignment="1">
      <alignment vertical="center"/>
    </xf>
    <xf numFmtId="0" fontId="46" fillId="6" borderId="0" xfId="0" applyFont="1" applyFill="1" applyAlignment="1" applyProtection="1">
      <alignment horizontal="center" vertical="center"/>
      <protection locked="0"/>
    </xf>
    <xf numFmtId="2" fontId="46" fillId="6" borderId="0" xfId="0" applyNumberFormat="1" applyFont="1" applyFill="1" applyAlignment="1">
      <alignment horizontal="center" vertical="center"/>
    </xf>
    <xf numFmtId="0" fontId="53" fillId="6" borderId="0" xfId="0" applyFont="1" applyFill="1" applyAlignment="1" applyProtection="1">
      <alignment horizontal="center" vertical="center"/>
      <protection locked="0"/>
    </xf>
    <xf numFmtId="0" fontId="46" fillId="6" borderId="0" xfId="0" applyFont="1" applyFill="1" applyAlignment="1" applyProtection="1">
      <alignment horizontal="center"/>
      <protection locked="0"/>
    </xf>
    <xf numFmtId="2" fontId="46" fillId="6" borderId="0" xfId="0" applyNumberFormat="1" applyFont="1" applyFill="1" applyAlignment="1">
      <alignment horizontal="center"/>
    </xf>
    <xf numFmtId="0" fontId="46" fillId="6" borderId="140" xfId="0" applyFont="1" applyFill="1" applyBorder="1"/>
    <xf numFmtId="0" fontId="46" fillId="6" borderId="142" xfId="0" applyFont="1" applyFill="1" applyBorder="1"/>
    <xf numFmtId="2" fontId="46" fillId="20" borderId="45" xfId="0" applyNumberFormat="1" applyFont="1" applyFill="1" applyBorder="1" applyAlignment="1">
      <alignment horizontal="center" vertical="center"/>
    </xf>
    <xf numFmtId="0" fontId="46" fillId="0" borderId="45" xfId="0" applyFont="1" applyBorder="1" applyAlignment="1" applyProtection="1">
      <alignment horizontal="center" vertical="center"/>
      <protection locked="0"/>
    </xf>
    <xf numFmtId="2" fontId="57" fillId="20" borderId="45" xfId="0" applyNumberFormat="1" applyFont="1" applyFill="1" applyBorder="1" applyAlignment="1">
      <alignment horizontal="center" vertical="center"/>
    </xf>
    <xf numFmtId="2" fontId="57" fillId="20" borderId="45" xfId="0" applyNumberFormat="1" applyFont="1" applyFill="1" applyBorder="1" applyAlignment="1">
      <alignment horizontal="center"/>
    </xf>
    <xf numFmtId="0" fontId="49" fillId="6" borderId="0" xfId="0" applyFont="1" applyFill="1" applyAlignment="1">
      <alignment horizontal="left" wrapText="1"/>
    </xf>
    <xf numFmtId="0" fontId="46" fillId="6" borderId="138" xfId="0" applyFont="1" applyFill="1" applyBorder="1" applyAlignment="1">
      <alignment vertical="center"/>
    </xf>
    <xf numFmtId="0" fontId="46" fillId="6" borderId="139" xfId="0" applyFont="1" applyFill="1" applyBorder="1" applyAlignment="1">
      <alignment horizontal="center"/>
    </xf>
    <xf numFmtId="0" fontId="46" fillId="6" borderId="141" xfId="0" applyFont="1" applyFill="1" applyBorder="1"/>
    <xf numFmtId="0" fontId="46" fillId="6" borderId="142" xfId="0" applyFont="1" applyFill="1" applyBorder="1" applyAlignment="1">
      <alignment horizontal="center"/>
    </xf>
    <xf numFmtId="0" fontId="61" fillId="6" borderId="138" xfId="0" applyFont="1" applyFill="1" applyBorder="1" applyAlignment="1">
      <alignment horizontal="left" wrapText="1"/>
    </xf>
    <xf numFmtId="0" fontId="49" fillId="6" borderId="139" xfId="0" applyFont="1" applyFill="1" applyBorder="1" applyAlignment="1">
      <alignment horizontal="left" wrapText="1"/>
    </xf>
    <xf numFmtId="2" fontId="51" fillId="20" borderId="45" xfId="0" applyNumberFormat="1" applyFont="1" applyFill="1" applyBorder="1" applyAlignment="1">
      <alignment horizontal="center"/>
    </xf>
    <xf numFmtId="2" fontId="55" fillId="20" borderId="45" xfId="0" applyNumberFormat="1" applyFont="1" applyFill="1" applyBorder="1" applyAlignment="1">
      <alignment horizontal="center"/>
    </xf>
    <xf numFmtId="2" fontId="60" fillId="20" borderId="45" xfId="0" applyNumberFormat="1" applyFont="1" applyFill="1" applyBorder="1" applyAlignment="1">
      <alignment horizontal="center"/>
    </xf>
    <xf numFmtId="0" fontId="55" fillId="20" borderId="45" xfId="0" applyFont="1" applyFill="1" applyBorder="1" applyAlignment="1">
      <alignment horizontal="center" vertical="center"/>
    </xf>
    <xf numFmtId="0" fontId="51" fillId="20" borderId="45" xfId="0" applyFont="1" applyFill="1" applyBorder="1" applyAlignment="1">
      <alignment horizontal="center" vertical="center"/>
    </xf>
    <xf numFmtId="0" fontId="55" fillId="20" borderId="45" xfId="0" applyFont="1" applyFill="1" applyBorder="1" applyAlignment="1">
      <alignment horizontal="center"/>
    </xf>
    <xf numFmtId="0" fontId="14" fillId="17" borderId="167" xfId="1" applyFill="1" applyBorder="1"/>
    <xf numFmtId="0" fontId="0" fillId="17" borderId="169" xfId="0" applyFill="1" applyBorder="1"/>
    <xf numFmtId="0" fontId="0" fillId="17" borderId="168" xfId="0" applyFill="1" applyBorder="1"/>
    <xf numFmtId="0" fontId="0" fillId="0" borderId="71" xfId="0" applyBorder="1"/>
    <xf numFmtId="0" fontId="0" fillId="6" borderId="170" xfId="0" applyFill="1" applyBorder="1"/>
    <xf numFmtId="0" fontId="0" fillId="6" borderId="71" xfId="0" applyFill="1" applyBorder="1" applyAlignment="1">
      <alignment horizontal="center"/>
    </xf>
    <xf numFmtId="0" fontId="0" fillId="6" borderId="67" xfId="0" applyFill="1" applyBorder="1" applyAlignment="1">
      <alignment horizontal="center"/>
    </xf>
    <xf numFmtId="0" fontId="0" fillId="6" borderId="171" xfId="0" applyFill="1" applyBorder="1"/>
    <xf numFmtId="0" fontId="0" fillId="6" borderId="36" xfId="0" applyFill="1" applyBorder="1" applyAlignment="1">
      <alignment horizontal="center"/>
    </xf>
    <xf numFmtId="0" fontId="0" fillId="6" borderId="36" xfId="0" applyFill="1" applyBorder="1" applyAlignment="1" applyProtection="1">
      <alignment horizontal="center"/>
      <protection locked="0"/>
    </xf>
    <xf numFmtId="0" fontId="0" fillId="6" borderId="36" xfId="0" applyFill="1" applyBorder="1"/>
    <xf numFmtId="0" fontId="9" fillId="6" borderId="36" xfId="0" applyFont="1" applyFill="1" applyBorder="1" applyAlignment="1">
      <alignment horizontal="center"/>
    </xf>
    <xf numFmtId="0" fontId="0" fillId="6" borderId="172" xfId="0" applyFill="1" applyBorder="1"/>
    <xf numFmtId="0" fontId="0" fillId="0" borderId="173" xfId="0" applyBorder="1"/>
    <xf numFmtId="0" fontId="0" fillId="6" borderId="174" xfId="0" applyFill="1" applyBorder="1"/>
    <xf numFmtId="0" fontId="0" fillId="6" borderId="71" xfId="0" applyFill="1" applyBorder="1"/>
    <xf numFmtId="0" fontId="0" fillId="6" borderId="67" xfId="0" applyFill="1" applyBorder="1"/>
    <xf numFmtId="0" fontId="0" fillId="3" borderId="17" xfId="0" applyFill="1" applyBorder="1" applyAlignment="1">
      <alignment horizontal="left"/>
    </xf>
    <xf numFmtId="0" fontId="0" fillId="20" borderId="17" xfId="0" applyFill="1" applyBorder="1" applyAlignment="1">
      <alignment horizontal="center"/>
    </xf>
    <xf numFmtId="0" fontId="0" fillId="6" borderId="17" xfId="0" applyFill="1" applyBorder="1" applyAlignment="1" applyProtection="1">
      <alignment horizontal="center"/>
      <protection locked="0"/>
    </xf>
    <xf numFmtId="0" fontId="0" fillId="3" borderId="17" xfId="0" applyFill="1" applyBorder="1" applyAlignment="1">
      <alignment horizontal="center"/>
    </xf>
    <xf numFmtId="0" fontId="0" fillId="11" borderId="17" xfId="0" applyFill="1" applyBorder="1" applyAlignment="1">
      <alignment horizontal="center"/>
    </xf>
    <xf numFmtId="0" fontId="0" fillId="0" borderId="17" xfId="0" applyBorder="1" applyAlignment="1">
      <alignment horizontal="center"/>
    </xf>
    <xf numFmtId="0" fontId="0" fillId="6" borderId="173" xfId="0" applyFill="1" applyBorder="1"/>
    <xf numFmtId="0" fontId="14" fillId="17" borderId="171" xfId="1" applyFill="1" applyBorder="1" applyAlignment="1"/>
    <xf numFmtId="0" fontId="0" fillId="17" borderId="36" xfId="0" applyFill="1" applyBorder="1"/>
    <xf numFmtId="0" fontId="14" fillId="17" borderId="172" xfId="1" applyFill="1" applyBorder="1" applyAlignment="1"/>
    <xf numFmtId="0" fontId="14" fillId="17" borderId="174" xfId="1" applyFill="1" applyBorder="1" applyAlignment="1"/>
    <xf numFmtId="0" fontId="0" fillId="6" borderId="173" xfId="0" applyFill="1" applyBorder="1" applyAlignment="1">
      <alignment horizontal="center"/>
    </xf>
    <xf numFmtId="2" fontId="1" fillId="0" borderId="13" xfId="0" applyNumberFormat="1" applyFont="1" applyBorder="1"/>
    <xf numFmtId="2" fontId="1" fillId="0" borderId="15" xfId="0" applyNumberFormat="1" applyFont="1" applyBorder="1"/>
    <xf numFmtId="0" fontId="0" fillId="6" borderId="0" xfId="0" applyFill="1" applyAlignment="1" applyProtection="1">
      <alignment horizontal="center"/>
      <protection locked="0"/>
    </xf>
    <xf numFmtId="165" fontId="0" fillId="6" borderId="0" xfId="0" applyNumberFormat="1" applyFill="1" applyAlignment="1">
      <alignment horizontal="center"/>
    </xf>
    <xf numFmtId="0" fontId="37" fillId="22" borderId="71" xfId="0" applyFont="1" applyFill="1" applyBorder="1"/>
    <xf numFmtId="0" fontId="37" fillId="22" borderId="171" xfId="0" applyFont="1" applyFill="1" applyBorder="1"/>
    <xf numFmtId="0" fontId="37" fillId="22" borderId="0" xfId="0" applyFont="1" applyFill="1"/>
    <xf numFmtId="0" fontId="37" fillId="22" borderId="36" xfId="0" applyFont="1" applyFill="1" applyBorder="1"/>
    <xf numFmtId="0" fontId="37" fillId="22" borderId="172" xfId="0" applyFont="1" applyFill="1" applyBorder="1"/>
    <xf numFmtId="0" fontId="37" fillId="22" borderId="174" xfId="0" applyFont="1" applyFill="1" applyBorder="1"/>
    <xf numFmtId="20" fontId="37" fillId="0" borderId="17" xfId="0" applyNumberFormat="1" applyFont="1" applyBorder="1" applyProtection="1">
      <protection locked="0"/>
    </xf>
    <xf numFmtId="20" fontId="37" fillId="26" borderId="17" xfId="0" applyNumberFormat="1" applyFont="1" applyFill="1" applyBorder="1"/>
    <xf numFmtId="0" fontId="37" fillId="26" borderId="72" xfId="0" applyFont="1" applyFill="1" applyBorder="1" applyAlignment="1">
      <alignment horizontal="center" vertical="center"/>
    </xf>
    <xf numFmtId="0" fontId="0" fillId="17" borderId="101" xfId="0" applyFill="1" applyBorder="1"/>
    <xf numFmtId="0" fontId="0" fillId="17" borderId="103" xfId="0" applyFill="1" applyBorder="1"/>
    <xf numFmtId="0" fontId="0" fillId="17" borderId="103" xfId="0" applyFill="1" applyBorder="1" applyAlignment="1">
      <alignment wrapText="1"/>
    </xf>
    <xf numFmtId="0" fontId="0" fillId="17" borderId="105" xfId="0" applyFill="1" applyBorder="1"/>
    <xf numFmtId="0" fontId="17" fillId="17" borderId="104" xfId="0" applyFont="1" applyFill="1" applyBorder="1" applyAlignment="1">
      <alignment wrapText="1"/>
    </xf>
    <xf numFmtId="2" fontId="0" fillId="17" borderId="104" xfId="0" applyNumberFormat="1" applyFill="1" applyBorder="1"/>
    <xf numFmtId="2" fontId="0" fillId="17" borderId="106" xfId="0" applyNumberFormat="1" applyFill="1" applyBorder="1" applyAlignment="1">
      <alignment horizontal="left"/>
    </xf>
    <xf numFmtId="0" fontId="0" fillId="17" borderId="17" xfId="0" applyFill="1" applyBorder="1" applyAlignment="1">
      <alignment horizontal="center"/>
    </xf>
    <xf numFmtId="164" fontId="3" fillId="17" borderId="17" xfId="0" applyNumberFormat="1" applyFont="1" applyFill="1" applyBorder="1" applyAlignment="1">
      <alignment horizontal="center"/>
    </xf>
    <xf numFmtId="0" fontId="0" fillId="17" borderId="17" xfId="0" applyFill="1" applyBorder="1"/>
    <xf numFmtId="170" fontId="3" fillId="17" borderId="17" xfId="0" applyNumberFormat="1" applyFont="1" applyFill="1" applyBorder="1" applyAlignment="1">
      <alignment horizontal="center"/>
    </xf>
    <xf numFmtId="2" fontId="5" fillId="5" borderId="57" xfId="0" applyNumberFormat="1" applyFont="1" applyFill="1" applyBorder="1" applyAlignment="1">
      <alignment horizontal="center" vertical="top"/>
    </xf>
    <xf numFmtId="2" fontId="5" fillId="5" borderId="122" xfId="0" applyNumberFormat="1" applyFont="1" applyFill="1" applyBorder="1" applyAlignment="1">
      <alignment horizontal="center" vertical="top"/>
    </xf>
    <xf numFmtId="0" fontId="0" fillId="5" borderId="112" xfId="0" applyFill="1" applyBorder="1" applyAlignment="1">
      <alignment horizontal="left" vertical="top" wrapText="1"/>
    </xf>
    <xf numFmtId="0" fontId="0" fillId="5" borderId="113" xfId="0" applyFill="1" applyBorder="1" applyAlignment="1">
      <alignment horizontal="left" vertical="top" wrapText="1"/>
    </xf>
    <xf numFmtId="0" fontId="0" fillId="5" borderId="114" xfId="0" applyFill="1" applyBorder="1" applyAlignment="1">
      <alignment horizontal="left" vertical="top" wrapText="1"/>
    </xf>
    <xf numFmtId="0" fontId="0" fillId="5" borderId="115" xfId="0" applyFill="1" applyBorder="1" applyAlignment="1">
      <alignment horizontal="left" vertical="top" wrapText="1"/>
    </xf>
    <xf numFmtId="0" fontId="0" fillId="5" borderId="0" xfId="0" applyFill="1" applyAlignment="1">
      <alignment horizontal="left" vertical="top" wrapText="1"/>
    </xf>
    <xf numFmtId="0" fontId="0" fillId="5" borderId="116" xfId="0" applyFill="1" applyBorder="1" applyAlignment="1">
      <alignment horizontal="left" vertical="top" wrapText="1"/>
    </xf>
    <xf numFmtId="0" fontId="0" fillId="5" borderId="117" xfId="0" applyFill="1" applyBorder="1" applyAlignment="1">
      <alignment horizontal="left" vertical="top" wrapText="1"/>
    </xf>
    <xf numFmtId="0" fontId="0" fillId="5" borderId="118" xfId="0" applyFill="1" applyBorder="1" applyAlignment="1">
      <alignment horizontal="left" vertical="top" wrapText="1"/>
    </xf>
    <xf numFmtId="0" fontId="0" fillId="5" borderId="119" xfId="0" applyFill="1" applyBorder="1" applyAlignment="1">
      <alignment horizontal="left" vertical="top" wrapText="1"/>
    </xf>
    <xf numFmtId="2" fontId="89" fillId="5" borderId="57" xfId="0" applyNumberFormat="1" applyFont="1" applyFill="1" applyBorder="1" applyAlignment="1">
      <alignment horizontal="center"/>
    </xf>
    <xf numFmtId="2" fontId="89" fillId="5" borderId="58" xfId="0" applyNumberFormat="1" applyFont="1" applyFill="1" applyBorder="1" applyAlignment="1">
      <alignment horizontal="center"/>
    </xf>
    <xf numFmtId="2" fontId="89" fillId="5" borderId="122" xfId="0" applyNumberFormat="1" applyFont="1" applyFill="1" applyBorder="1" applyAlignment="1">
      <alignment horizontal="center"/>
    </xf>
    <xf numFmtId="2" fontId="5" fillId="5" borderId="58" xfId="0" applyNumberFormat="1" applyFont="1" applyFill="1" applyBorder="1" applyAlignment="1">
      <alignment horizontal="center" vertical="top"/>
    </xf>
    <xf numFmtId="2" fontId="21" fillId="5" borderId="56" xfId="0" applyNumberFormat="1" applyFont="1" applyFill="1" applyBorder="1" applyAlignment="1">
      <alignment horizontal="center" vertical="center" wrapText="1"/>
    </xf>
    <xf numFmtId="2" fontId="0" fillId="5" borderId="120" xfId="0" applyNumberFormat="1" applyFill="1" applyBorder="1" applyAlignment="1">
      <alignment horizontal="center" vertical="center" wrapText="1"/>
    </xf>
    <xf numFmtId="2" fontId="0" fillId="5" borderId="121" xfId="0" applyNumberFormat="1" applyFill="1" applyBorder="1" applyAlignment="1">
      <alignment horizontal="center" vertical="center" wrapText="1"/>
    </xf>
    <xf numFmtId="2" fontId="3" fillId="5" borderId="123" xfId="0" applyNumberFormat="1" applyFont="1" applyFill="1" applyBorder="1" applyAlignment="1">
      <alignment horizontal="center" vertical="top" wrapText="1"/>
    </xf>
    <xf numFmtId="2" fontId="3" fillId="5" borderId="124" xfId="0" applyNumberFormat="1" applyFont="1" applyFill="1" applyBorder="1" applyAlignment="1">
      <alignment horizontal="center" vertical="top" wrapText="1"/>
    </xf>
    <xf numFmtId="2" fontId="5" fillId="0" borderId="57" xfId="0" applyNumberFormat="1" applyFont="1" applyBorder="1" applyAlignment="1">
      <alignment horizontal="left" vertical="center" wrapText="1"/>
    </xf>
    <xf numFmtId="2" fontId="5" fillId="0" borderId="58" xfId="0" applyNumberFormat="1" applyFont="1" applyBorder="1" applyAlignment="1">
      <alignment horizontal="left" vertical="center" wrapText="1"/>
    </xf>
    <xf numFmtId="2" fontId="5" fillId="0" borderId="122" xfId="0" applyNumberFormat="1" applyFont="1" applyBorder="1" applyAlignment="1">
      <alignment horizontal="left" vertical="center" wrapText="1"/>
    </xf>
    <xf numFmtId="2" fontId="5" fillId="0" borderId="57" xfId="0" applyNumberFormat="1" applyFont="1" applyBorder="1" applyAlignment="1">
      <alignment horizontal="center" vertical="center" wrapText="1"/>
    </xf>
    <xf numFmtId="2" fontId="5" fillId="0" borderId="122" xfId="0" applyNumberFormat="1" applyFont="1" applyBorder="1" applyAlignment="1">
      <alignment horizontal="center" vertical="center" wrapText="1"/>
    </xf>
    <xf numFmtId="0" fontId="0" fillId="0" borderId="57" xfId="0" applyBorder="1" applyAlignment="1">
      <alignment horizontal="left" vertical="center"/>
    </xf>
    <xf numFmtId="0" fontId="0" fillId="0" borderId="58" xfId="0" applyBorder="1" applyAlignment="1">
      <alignment horizontal="left" vertical="center"/>
    </xf>
    <xf numFmtId="0" fontId="0" fillId="0" borderId="122" xfId="0"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0" fillId="0" borderId="112" xfId="0" applyBorder="1" applyAlignment="1">
      <alignment horizontal="left" vertical="center"/>
    </xf>
    <xf numFmtId="0" fontId="0" fillId="0" borderId="113" xfId="0" applyBorder="1" applyAlignment="1">
      <alignment horizontal="left" vertical="center"/>
    </xf>
    <xf numFmtId="0" fontId="0" fillId="0" borderId="114" xfId="0" applyBorder="1" applyAlignment="1">
      <alignment horizontal="left" vertical="center"/>
    </xf>
    <xf numFmtId="0" fontId="14" fillId="5" borderId="115" xfId="1" applyFill="1" applyBorder="1" applyAlignment="1">
      <alignment horizontal="center"/>
    </xf>
    <xf numFmtId="0" fontId="14" fillId="5" borderId="0" xfId="1" applyFill="1" applyBorder="1" applyAlignment="1">
      <alignment horizontal="center"/>
    </xf>
    <xf numFmtId="0" fontId="14" fillId="5" borderId="116" xfId="1" applyFill="1" applyBorder="1" applyAlignment="1">
      <alignment horizontal="center"/>
    </xf>
    <xf numFmtId="0" fontId="0" fillId="5" borderId="112" xfId="0" applyFill="1" applyBorder="1" applyAlignment="1">
      <alignment horizontal="center"/>
    </xf>
    <xf numFmtId="0" fontId="0" fillId="5" borderId="113" xfId="0" applyFill="1" applyBorder="1" applyAlignment="1">
      <alignment horizontal="center"/>
    </xf>
    <xf numFmtId="0" fontId="0" fillId="5" borderId="114" xfId="0" applyFill="1" applyBorder="1" applyAlignment="1">
      <alignment horizontal="center"/>
    </xf>
    <xf numFmtId="0" fontId="0" fillId="5" borderId="117" xfId="0" applyFill="1" applyBorder="1" applyAlignment="1">
      <alignment horizontal="center"/>
    </xf>
    <xf numFmtId="0" fontId="0" fillId="5" borderId="118" xfId="0" applyFill="1" applyBorder="1" applyAlignment="1">
      <alignment horizontal="center"/>
    </xf>
    <xf numFmtId="0" fontId="0" fillId="5" borderId="119" xfId="0" applyFill="1" applyBorder="1" applyAlignment="1">
      <alignment horizontal="center"/>
    </xf>
    <xf numFmtId="0" fontId="3" fillId="5" borderId="48" xfId="0" applyFont="1" applyFill="1" applyBorder="1" applyAlignment="1">
      <alignment horizontal="center"/>
    </xf>
    <xf numFmtId="0" fontId="3" fillId="5" borderId="49" xfId="0" applyFont="1" applyFill="1" applyBorder="1" applyAlignment="1">
      <alignment horizontal="center"/>
    </xf>
    <xf numFmtId="0" fontId="0" fillId="5" borderId="75" xfId="0" applyFill="1" applyBorder="1" applyAlignment="1">
      <alignment horizontal="center"/>
    </xf>
    <xf numFmtId="0" fontId="0" fillId="5" borderId="37" xfId="0" applyFill="1" applyBorder="1" applyAlignment="1">
      <alignment horizontal="center"/>
    </xf>
    <xf numFmtId="0" fontId="0" fillId="5" borderId="57" xfId="0" applyFill="1" applyBorder="1" applyAlignment="1">
      <alignment horizontal="center" vertical="top" wrapText="1"/>
    </xf>
    <xf numFmtId="0" fontId="0" fillId="5" borderId="122" xfId="0" applyFill="1" applyBorder="1" applyAlignment="1">
      <alignment horizontal="center" vertical="top" wrapText="1"/>
    </xf>
    <xf numFmtId="2" fontId="5" fillId="0" borderId="112" xfId="0" applyNumberFormat="1" applyFont="1" applyBorder="1" applyAlignment="1">
      <alignment horizontal="center" vertical="center" wrapText="1"/>
    </xf>
    <xf numFmtId="2" fontId="5" fillId="0" borderId="113" xfId="0" applyNumberFormat="1" applyFont="1" applyBorder="1" applyAlignment="1">
      <alignment horizontal="center" vertical="center" wrapText="1"/>
    </xf>
    <xf numFmtId="2" fontId="5" fillId="0" borderId="114" xfId="0" applyNumberFormat="1" applyFont="1" applyBorder="1" applyAlignment="1">
      <alignment horizontal="center" vertical="center" wrapText="1"/>
    </xf>
    <xf numFmtId="2" fontId="5" fillId="0" borderId="115"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5" fillId="0" borderId="116" xfId="0" applyNumberFormat="1" applyFont="1" applyBorder="1" applyAlignment="1">
      <alignment horizontal="center" vertical="center" wrapText="1"/>
    </xf>
    <xf numFmtId="2" fontId="5" fillId="0" borderId="117" xfId="0" applyNumberFormat="1" applyFont="1" applyBorder="1" applyAlignment="1">
      <alignment horizontal="center" vertical="center" wrapText="1"/>
    </xf>
    <xf numFmtId="2" fontId="5" fillId="0" borderId="118" xfId="0" applyNumberFormat="1" applyFont="1" applyBorder="1" applyAlignment="1">
      <alignment horizontal="center" vertical="center" wrapText="1"/>
    </xf>
    <xf numFmtId="2" fontId="5" fillId="0" borderId="119" xfId="0" applyNumberFormat="1" applyFont="1" applyBorder="1" applyAlignment="1">
      <alignment horizontal="center" vertical="center" wrapText="1"/>
    </xf>
    <xf numFmtId="2" fontId="3" fillId="5" borderId="57" xfId="0" applyNumberFormat="1" applyFont="1" applyFill="1" applyBorder="1" applyAlignment="1">
      <alignment horizontal="center" wrapText="1"/>
    </xf>
    <xf numFmtId="2" fontId="3" fillId="5" borderId="122" xfId="0" applyNumberFormat="1" applyFont="1" applyFill="1" applyBorder="1" applyAlignment="1">
      <alignment horizontal="center" wrapText="1"/>
    </xf>
    <xf numFmtId="2" fontId="1" fillId="0" borderId="57" xfId="0" applyNumberFormat="1" applyFont="1" applyBorder="1" applyAlignment="1">
      <alignment horizontal="left" vertical="center" wrapText="1"/>
    </xf>
    <xf numFmtId="2" fontId="1" fillId="0" borderId="58" xfId="0" applyNumberFormat="1" applyFont="1" applyBorder="1" applyAlignment="1">
      <alignment horizontal="left" vertical="center" wrapText="1"/>
    </xf>
    <xf numFmtId="2" fontId="1" fillId="0" borderId="122" xfId="0" applyNumberFormat="1" applyFont="1" applyBorder="1" applyAlignment="1">
      <alignment horizontal="left" vertical="center" wrapText="1"/>
    </xf>
    <xf numFmtId="2" fontId="2" fillId="0" borderId="88" xfId="0" applyNumberFormat="1" applyFont="1" applyBorder="1" applyAlignment="1">
      <alignment horizontal="left" vertical="top" wrapText="1"/>
    </xf>
    <xf numFmtId="2" fontId="2" fillId="0" borderId="86" xfId="0" applyNumberFormat="1" applyFont="1" applyBorder="1" applyAlignment="1">
      <alignment horizontal="left" vertical="top" wrapText="1"/>
    </xf>
    <xf numFmtId="2" fontId="2" fillId="0" borderId="89" xfId="0" applyNumberFormat="1" applyFont="1" applyBorder="1" applyAlignment="1">
      <alignment horizontal="left" vertical="top" wrapText="1"/>
    </xf>
    <xf numFmtId="2" fontId="2" fillId="0" borderId="87" xfId="0" applyNumberFormat="1" applyFont="1" applyBorder="1" applyAlignment="1">
      <alignment horizontal="left" vertical="top" wrapText="1"/>
    </xf>
    <xf numFmtId="2" fontId="2" fillId="0" borderId="0" xfId="0" applyNumberFormat="1" applyFont="1" applyAlignment="1">
      <alignment horizontal="left" vertical="top" wrapText="1"/>
    </xf>
    <xf numFmtId="2" fontId="2" fillId="0" borderId="90" xfId="0" applyNumberFormat="1" applyFont="1" applyBorder="1" applyAlignment="1">
      <alignment horizontal="left" vertical="top" wrapText="1"/>
    </xf>
    <xf numFmtId="2" fontId="2" fillId="0" borderId="91" xfId="0" applyNumberFormat="1" applyFont="1" applyBorder="1" applyAlignment="1">
      <alignment horizontal="left" vertical="top" wrapText="1"/>
    </xf>
    <xf numFmtId="2" fontId="2" fillId="0" borderId="69" xfId="0" applyNumberFormat="1" applyFont="1" applyBorder="1" applyAlignment="1">
      <alignment horizontal="left" vertical="top" wrapText="1"/>
    </xf>
    <xf numFmtId="2" fontId="2" fillId="0" borderId="92" xfId="0" applyNumberFormat="1" applyFont="1" applyBorder="1" applyAlignment="1">
      <alignment horizontal="left" vertical="top" wrapText="1"/>
    </xf>
    <xf numFmtId="0" fontId="7" fillId="5" borderId="52" xfId="0" applyFont="1" applyFill="1" applyBorder="1" applyAlignment="1">
      <alignment horizontal="center" vertical="center" wrapText="1"/>
    </xf>
    <xf numFmtId="2" fontId="0" fillId="3" borderId="52" xfId="0" applyNumberFormat="1" applyFill="1" applyBorder="1" applyAlignment="1">
      <alignment horizontal="left"/>
    </xf>
    <xf numFmtId="2" fontId="3" fillId="5" borderId="57" xfId="0" applyNumberFormat="1" applyFont="1" applyFill="1" applyBorder="1" applyAlignment="1">
      <alignment horizontal="center" vertical="center" wrapText="1"/>
    </xf>
    <xf numFmtId="2" fontId="3" fillId="5" borderId="122" xfId="0" applyNumberFormat="1" applyFont="1" applyFill="1" applyBorder="1" applyAlignment="1">
      <alignment horizontal="center" vertical="center" wrapText="1"/>
    </xf>
    <xf numFmtId="2" fontId="1" fillId="5" borderId="125" xfId="0" applyNumberFormat="1" applyFont="1" applyFill="1" applyBorder="1" applyAlignment="1">
      <alignment horizontal="center" vertical="top" wrapText="1"/>
    </xf>
    <xf numFmtId="2" fontId="1" fillId="5" borderId="126" xfId="0" applyNumberFormat="1" applyFont="1" applyFill="1" applyBorder="1" applyAlignment="1">
      <alignment horizontal="center" vertical="top" wrapText="1"/>
    </xf>
    <xf numFmtId="2" fontId="1" fillId="5" borderId="127" xfId="0" applyNumberFormat="1" applyFont="1" applyFill="1" applyBorder="1" applyAlignment="1">
      <alignment horizontal="center" vertical="top" wrapText="1"/>
    </xf>
    <xf numFmtId="2" fontId="0" fillId="0" borderId="57" xfId="0" applyNumberFormat="1" applyBorder="1" applyAlignment="1">
      <alignment horizontal="center" vertical="center" wrapText="1"/>
    </xf>
    <xf numFmtId="2" fontId="0" fillId="0" borderId="58" xfId="0" applyNumberFormat="1" applyBorder="1" applyAlignment="1">
      <alignment horizontal="center" vertical="center" wrapText="1"/>
    </xf>
    <xf numFmtId="2" fontId="0" fillId="0" borderId="122" xfId="0" applyNumberFormat="1" applyBorder="1" applyAlignment="1">
      <alignment horizontal="center" vertical="center" wrapText="1"/>
    </xf>
    <xf numFmtId="166" fontId="0" fillId="0" borderId="57" xfId="0" applyNumberFormat="1" applyBorder="1" applyAlignment="1">
      <alignment horizontal="center" vertical="center" wrapText="1"/>
    </xf>
    <xf numFmtId="166" fontId="0" fillId="0" borderId="58" xfId="0" applyNumberFormat="1" applyBorder="1" applyAlignment="1">
      <alignment horizontal="center" vertical="center" wrapText="1"/>
    </xf>
    <xf numFmtId="166" fontId="0" fillId="0" borderId="122" xfId="0" applyNumberFormat="1" applyBorder="1" applyAlignment="1">
      <alignment horizontal="center" vertical="center" wrapText="1"/>
    </xf>
    <xf numFmtId="2" fontId="0" fillId="3" borderId="52" xfId="0" applyNumberFormat="1" applyFill="1" applyBorder="1" applyAlignment="1">
      <alignment horizontal="center"/>
    </xf>
    <xf numFmtId="2" fontId="0" fillId="5" borderId="52" xfId="0" applyNumberFormat="1" applyFill="1" applyBorder="1" applyAlignment="1">
      <alignment horizontal="center" vertical="center"/>
    </xf>
    <xf numFmtId="2" fontId="0" fillId="0" borderId="112" xfId="0" applyNumberFormat="1" applyBorder="1" applyAlignment="1">
      <alignment horizontal="left" vertical="center" wrapText="1"/>
    </xf>
    <xf numFmtId="2" fontId="40" fillId="0" borderId="113" xfId="0" applyNumberFormat="1" applyFont="1" applyBorder="1" applyAlignment="1">
      <alignment horizontal="left" vertical="center" wrapText="1"/>
    </xf>
    <xf numFmtId="2" fontId="40" fillId="0" borderId="114" xfId="0" applyNumberFormat="1" applyFont="1" applyBorder="1" applyAlignment="1">
      <alignment horizontal="left" vertical="center" wrapText="1"/>
    </xf>
    <xf numFmtId="2" fontId="40" fillId="0" borderId="117" xfId="0" applyNumberFormat="1" applyFont="1" applyBorder="1" applyAlignment="1">
      <alignment horizontal="left" vertical="center" wrapText="1"/>
    </xf>
    <xf numFmtId="2" fontId="40" fillId="0" borderId="118" xfId="0" applyNumberFormat="1" applyFont="1" applyBorder="1" applyAlignment="1">
      <alignment horizontal="left" vertical="center" wrapText="1"/>
    </xf>
    <xf numFmtId="2" fontId="40" fillId="0" borderId="119" xfId="0" applyNumberFormat="1" applyFont="1" applyBorder="1" applyAlignment="1">
      <alignment horizontal="left" vertical="center" wrapText="1"/>
    </xf>
    <xf numFmtId="166" fontId="1" fillId="0" borderId="57" xfId="0" applyNumberFormat="1" applyFont="1" applyBorder="1" applyAlignment="1">
      <alignment horizontal="center" vertical="center" wrapText="1"/>
    </xf>
    <xf numFmtId="166" fontId="1" fillId="0" borderId="58" xfId="0" applyNumberFormat="1" applyFont="1" applyBorder="1" applyAlignment="1">
      <alignment horizontal="center" vertical="center" wrapText="1"/>
    </xf>
    <xf numFmtId="166" fontId="1" fillId="0" borderId="122" xfId="0" applyNumberFormat="1" applyFont="1" applyBorder="1" applyAlignment="1">
      <alignment horizontal="center" vertical="center" wrapText="1"/>
    </xf>
    <xf numFmtId="166" fontId="41" fillId="0" borderId="57" xfId="0" applyNumberFormat="1" applyFont="1" applyBorder="1" applyAlignment="1">
      <alignment horizontal="left" vertical="center" wrapText="1"/>
    </xf>
    <xf numFmtId="166" fontId="41" fillId="0" borderId="58" xfId="0" applyNumberFormat="1" applyFont="1" applyBorder="1" applyAlignment="1">
      <alignment horizontal="left" vertical="center" wrapText="1"/>
    </xf>
    <xf numFmtId="166" fontId="41" fillId="0" borderId="122" xfId="0" applyNumberFormat="1" applyFont="1" applyBorder="1" applyAlignment="1">
      <alignment horizontal="left" vertical="center" wrapText="1"/>
    </xf>
    <xf numFmtId="2" fontId="3" fillId="5" borderId="57" xfId="0" applyNumberFormat="1" applyFont="1" applyFill="1" applyBorder="1" applyAlignment="1">
      <alignment horizontal="center" vertical="top"/>
    </xf>
    <xf numFmtId="2" fontId="3" fillId="5" borderId="122" xfId="0" applyNumberFormat="1" applyFont="1" applyFill="1" applyBorder="1" applyAlignment="1">
      <alignment horizontal="center" vertical="top"/>
    </xf>
    <xf numFmtId="2" fontId="1" fillId="0" borderId="112" xfId="0" applyNumberFormat="1" applyFont="1" applyBorder="1" applyAlignment="1">
      <alignment horizontal="left" wrapText="1"/>
    </xf>
    <xf numFmtId="2" fontId="1" fillId="0" borderId="113" xfId="0" applyNumberFormat="1" applyFont="1" applyBorder="1" applyAlignment="1">
      <alignment horizontal="left"/>
    </xf>
    <xf numFmtId="2" fontId="1" fillId="0" borderId="114" xfId="0" applyNumberFormat="1" applyFont="1" applyBorder="1" applyAlignment="1">
      <alignment horizontal="left"/>
    </xf>
    <xf numFmtId="2" fontId="1" fillId="0" borderId="115" xfId="0" applyNumberFormat="1" applyFont="1" applyBorder="1" applyAlignment="1">
      <alignment horizontal="left"/>
    </xf>
    <xf numFmtId="2" fontId="1" fillId="0" borderId="0" xfId="0" applyNumberFormat="1" applyFont="1" applyAlignment="1">
      <alignment horizontal="left"/>
    </xf>
    <xf numFmtId="2" fontId="1" fillId="0" borderId="116" xfId="0" applyNumberFormat="1" applyFont="1" applyBorder="1" applyAlignment="1">
      <alignment horizontal="left"/>
    </xf>
    <xf numFmtId="2" fontId="1" fillId="0" borderId="117" xfId="0" applyNumberFormat="1" applyFont="1" applyBorder="1" applyAlignment="1">
      <alignment horizontal="left"/>
    </xf>
    <xf numFmtId="2" fontId="1" fillId="0" borderId="118" xfId="0" applyNumberFormat="1" applyFont="1" applyBorder="1" applyAlignment="1">
      <alignment horizontal="left"/>
    </xf>
    <xf numFmtId="2" fontId="1" fillId="0" borderId="119" xfId="0" applyNumberFormat="1" applyFont="1" applyBorder="1" applyAlignment="1">
      <alignment horizontal="left"/>
    </xf>
    <xf numFmtId="2" fontId="1" fillId="5" borderId="57" xfId="0" applyNumberFormat="1" applyFont="1" applyFill="1" applyBorder="1" applyAlignment="1">
      <alignment horizontal="center" vertical="center"/>
    </xf>
    <xf numFmtId="2" fontId="1" fillId="5" borderId="58" xfId="0" applyNumberFormat="1" applyFont="1" applyFill="1" applyBorder="1" applyAlignment="1">
      <alignment horizontal="center" vertical="center"/>
    </xf>
    <xf numFmtId="2" fontId="1" fillId="5" borderId="122" xfId="0" applyNumberFormat="1" applyFont="1" applyFill="1" applyBorder="1" applyAlignment="1">
      <alignment horizontal="center" vertical="center"/>
    </xf>
    <xf numFmtId="0" fontId="3" fillId="5" borderId="57" xfId="0" applyFont="1" applyFill="1" applyBorder="1" applyAlignment="1">
      <alignment horizontal="center" vertical="top"/>
    </xf>
    <xf numFmtId="0" fontId="3" fillId="5" borderId="122" xfId="0" applyFont="1" applyFill="1" applyBorder="1" applyAlignment="1">
      <alignment horizontal="center" vertical="top"/>
    </xf>
    <xf numFmtId="0" fontId="1" fillId="5" borderId="57" xfId="0" applyFont="1" applyFill="1" applyBorder="1" applyAlignment="1">
      <alignment horizontal="center"/>
    </xf>
    <xf numFmtId="0" fontId="1" fillId="5" borderId="122" xfId="0" applyFont="1" applyFill="1" applyBorder="1" applyAlignment="1">
      <alignment horizontal="center"/>
    </xf>
    <xf numFmtId="166" fontId="1" fillId="0" borderId="57" xfId="0" applyNumberFormat="1" applyFont="1" applyBorder="1" applyAlignment="1">
      <alignment horizontal="left" vertical="center" wrapText="1"/>
    </xf>
    <xf numFmtId="166" fontId="1" fillId="0" borderId="58" xfId="0" applyNumberFormat="1" applyFont="1" applyBorder="1" applyAlignment="1">
      <alignment horizontal="left" vertical="center" wrapText="1"/>
    </xf>
    <xf numFmtId="166" fontId="1" fillId="0" borderId="122" xfId="0" applyNumberFormat="1" applyFont="1" applyBorder="1" applyAlignment="1">
      <alignment horizontal="left" vertical="center" wrapText="1"/>
    </xf>
    <xf numFmtId="0" fontId="3" fillId="5" borderId="112" xfId="0" applyFont="1" applyFill="1" applyBorder="1" applyAlignment="1">
      <alignment horizontal="center"/>
    </xf>
    <xf numFmtId="0" fontId="3" fillId="5" borderId="114" xfId="0" applyFont="1" applyFill="1" applyBorder="1" applyAlignment="1">
      <alignment horizontal="center"/>
    </xf>
    <xf numFmtId="2" fontId="0" fillId="5" borderId="112" xfId="0" applyNumberFormat="1" applyFill="1" applyBorder="1" applyAlignment="1">
      <alignment horizontal="center"/>
    </xf>
    <xf numFmtId="2" fontId="0" fillId="5" borderId="113" xfId="0" applyNumberFormat="1" applyFill="1" applyBorder="1" applyAlignment="1">
      <alignment horizontal="center"/>
    </xf>
    <xf numFmtId="2" fontId="0" fillId="5" borderId="114" xfId="0" applyNumberFormat="1" applyFill="1" applyBorder="1" applyAlignment="1">
      <alignment horizontal="center"/>
    </xf>
    <xf numFmtId="0" fontId="1" fillId="0" borderId="128" xfId="0" applyFont="1" applyBorder="1" applyAlignment="1">
      <alignment horizontal="left" vertical="center"/>
    </xf>
    <xf numFmtId="0" fontId="1" fillId="0" borderId="129" xfId="0" applyFont="1" applyBorder="1" applyAlignment="1">
      <alignment horizontal="left" vertical="center"/>
    </xf>
    <xf numFmtId="0" fontId="1" fillId="0" borderId="130" xfId="0" applyFont="1" applyBorder="1" applyAlignment="1">
      <alignment horizontal="left" vertical="center"/>
    </xf>
    <xf numFmtId="2" fontId="0" fillId="5" borderId="115" xfId="0" applyNumberFormat="1" applyFill="1" applyBorder="1" applyAlignment="1">
      <alignment horizontal="center" wrapText="1"/>
    </xf>
    <xf numFmtId="2" fontId="0" fillId="5" borderId="0" xfId="0" applyNumberFormat="1" applyFill="1" applyAlignment="1">
      <alignment horizontal="center" wrapText="1"/>
    </xf>
    <xf numFmtId="2" fontId="0" fillId="5" borderId="116" xfId="0" applyNumberFormat="1" applyFill="1" applyBorder="1" applyAlignment="1">
      <alignment horizontal="center" wrapText="1"/>
    </xf>
    <xf numFmtId="2" fontId="0" fillId="5" borderId="117" xfId="0" applyNumberFormat="1" applyFill="1" applyBorder="1" applyAlignment="1">
      <alignment horizontal="center" wrapText="1"/>
    </xf>
    <xf numFmtId="2" fontId="0" fillId="5" borderId="118" xfId="0" applyNumberFormat="1" applyFill="1" applyBorder="1" applyAlignment="1">
      <alignment horizontal="center" wrapText="1"/>
    </xf>
    <xf numFmtId="2" fontId="0" fillId="5" borderId="119" xfId="0" applyNumberFormat="1" applyFill="1" applyBorder="1" applyAlignment="1">
      <alignment horizontal="center" wrapText="1"/>
    </xf>
    <xf numFmtId="0" fontId="1" fillId="0" borderId="11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114" xfId="0" applyFont="1" applyBorder="1" applyAlignment="1">
      <alignment horizontal="center" vertical="center" wrapText="1"/>
    </xf>
    <xf numFmtId="0" fontId="1" fillId="0" borderId="117" xfId="0" applyFont="1" applyBorder="1" applyAlignment="1">
      <alignment horizontal="center" vertical="center" wrapText="1"/>
    </xf>
    <xf numFmtId="0" fontId="1" fillId="0" borderId="118" xfId="0" applyFont="1" applyBorder="1" applyAlignment="1">
      <alignment horizontal="center" vertical="center" wrapText="1"/>
    </xf>
    <xf numFmtId="0" fontId="1" fillId="0" borderId="119" xfId="0" applyFont="1" applyBorder="1" applyAlignment="1">
      <alignment horizontal="center" vertical="center" wrapText="1"/>
    </xf>
    <xf numFmtId="2" fontId="3" fillId="5" borderId="123" xfId="0" applyNumberFormat="1" applyFont="1" applyFill="1" applyBorder="1" applyAlignment="1">
      <alignment horizontal="center" wrapText="1"/>
    </xf>
    <xf numFmtId="2" fontId="3" fillId="5" borderId="124" xfId="0" applyNumberFormat="1" applyFont="1" applyFill="1" applyBorder="1" applyAlignment="1">
      <alignment horizontal="center" wrapText="1"/>
    </xf>
    <xf numFmtId="2" fontId="0" fillId="5" borderId="57" xfId="0" applyNumberFormat="1" applyFill="1" applyBorder="1" applyAlignment="1">
      <alignment horizontal="center" wrapText="1"/>
    </xf>
    <xf numFmtId="2" fontId="0" fillId="5" borderId="122" xfId="0" applyNumberFormat="1" applyFill="1" applyBorder="1" applyAlignment="1">
      <alignment horizontal="center" wrapText="1"/>
    </xf>
    <xf numFmtId="166" fontId="77" fillId="0" borderId="57" xfId="0" applyNumberFormat="1" applyFont="1" applyBorder="1" applyAlignment="1">
      <alignment horizontal="left" vertical="center" wrapText="1"/>
    </xf>
    <xf numFmtId="166" fontId="77" fillId="0" borderId="58" xfId="0" applyNumberFormat="1" applyFont="1" applyBorder="1" applyAlignment="1">
      <alignment horizontal="left" vertical="center" wrapText="1"/>
    </xf>
    <xf numFmtId="166" fontId="77" fillId="0" borderId="122" xfId="0" applyNumberFormat="1" applyFont="1" applyBorder="1" applyAlignment="1">
      <alignment horizontal="left" vertical="center" wrapText="1"/>
    </xf>
    <xf numFmtId="2" fontId="14" fillId="5" borderId="117" xfId="1" applyNumberFormat="1" applyFill="1" applyBorder="1" applyAlignment="1">
      <alignment horizontal="center" vertical="center" wrapText="1"/>
    </xf>
    <xf numFmtId="2" fontId="14" fillId="5" borderId="118" xfId="1" applyNumberFormat="1" applyFill="1" applyBorder="1" applyAlignment="1">
      <alignment horizontal="center" vertical="center" wrapText="1"/>
    </xf>
    <xf numFmtId="2" fontId="14" fillId="5" borderId="119" xfId="1" applyNumberFormat="1" applyFill="1" applyBorder="1" applyAlignment="1">
      <alignment horizontal="center" vertical="center" wrapText="1"/>
    </xf>
    <xf numFmtId="0" fontId="3" fillId="5" borderId="57" xfId="0" applyFont="1" applyFill="1" applyBorder="1" applyAlignment="1">
      <alignment horizontal="center"/>
    </xf>
    <xf numFmtId="0" fontId="3" fillId="5" borderId="122" xfId="0" applyFont="1" applyFill="1" applyBorder="1" applyAlignment="1">
      <alignment horizontal="center"/>
    </xf>
    <xf numFmtId="0" fontId="21" fillId="0" borderId="57" xfId="0" applyFont="1" applyBorder="1" applyAlignment="1">
      <alignment horizontal="center"/>
    </xf>
    <xf numFmtId="0" fontId="21" fillId="0" borderId="122" xfId="0" applyFont="1" applyBorder="1" applyAlignment="1">
      <alignment horizontal="center"/>
    </xf>
    <xf numFmtId="2" fontId="3" fillId="5" borderId="131" xfId="0" applyNumberFormat="1" applyFont="1" applyFill="1" applyBorder="1" applyAlignment="1">
      <alignment horizontal="center" wrapText="1"/>
    </xf>
    <xf numFmtId="2" fontId="3" fillId="5" borderId="132" xfId="0" applyNumberFormat="1" applyFont="1" applyFill="1" applyBorder="1" applyAlignment="1">
      <alignment horizontal="center" wrapText="1"/>
    </xf>
    <xf numFmtId="2" fontId="5" fillId="5" borderId="133" xfId="0" applyNumberFormat="1" applyFont="1" applyFill="1" applyBorder="1" applyAlignment="1">
      <alignment horizontal="center" vertical="top"/>
    </xf>
    <xf numFmtId="2" fontId="5" fillId="5" borderId="134" xfId="0" applyNumberFormat="1" applyFont="1" applyFill="1" applyBorder="1" applyAlignment="1">
      <alignment horizontal="center" vertical="top"/>
    </xf>
    <xf numFmtId="2" fontId="0" fillId="0" borderId="113" xfId="0" applyNumberFormat="1" applyBorder="1" applyAlignment="1">
      <alignment horizontal="left" vertical="center" wrapText="1"/>
    </xf>
    <xf numFmtId="2" fontId="0" fillId="0" borderId="114" xfId="0" applyNumberFormat="1" applyBorder="1" applyAlignment="1">
      <alignment horizontal="left" vertical="center" wrapText="1"/>
    </xf>
    <xf numFmtId="2" fontId="0" fillId="0" borderId="115" xfId="0" applyNumberFormat="1" applyBorder="1" applyAlignment="1">
      <alignment horizontal="left" vertical="center" wrapText="1"/>
    </xf>
    <xf numFmtId="2" fontId="0" fillId="0" borderId="0" xfId="0" applyNumberFormat="1" applyAlignment="1">
      <alignment horizontal="left" vertical="center" wrapText="1"/>
    </xf>
    <xf numFmtId="2" fontId="0" fillId="0" borderId="116" xfId="0" applyNumberFormat="1" applyBorder="1" applyAlignment="1">
      <alignment horizontal="left" vertical="center" wrapText="1"/>
    </xf>
    <xf numFmtId="2" fontId="0" fillId="0" borderId="117" xfId="0" applyNumberFormat="1" applyBorder="1" applyAlignment="1">
      <alignment horizontal="left" vertical="center" wrapText="1"/>
    </xf>
    <xf numFmtId="2" fontId="0" fillId="0" borderId="118" xfId="0" applyNumberFormat="1" applyBorder="1" applyAlignment="1">
      <alignment horizontal="left" vertical="center" wrapText="1"/>
    </xf>
    <xf numFmtId="2" fontId="0" fillId="0" borderId="119" xfId="0" applyNumberFormat="1" applyBorder="1" applyAlignment="1">
      <alignment horizontal="left" vertical="center" wrapText="1"/>
    </xf>
    <xf numFmtId="2" fontId="1" fillId="0" borderId="112" xfId="0" applyNumberFormat="1" applyFont="1" applyBorder="1" applyAlignment="1">
      <alignment horizontal="center" wrapText="1"/>
    </xf>
    <xf numFmtId="2" fontId="1" fillId="0" borderId="114" xfId="0" applyNumberFormat="1" applyFont="1" applyBorder="1" applyAlignment="1">
      <alignment horizontal="center" wrapText="1"/>
    </xf>
    <xf numFmtId="2" fontId="1" fillId="0" borderId="117" xfId="0" applyNumberFormat="1" applyFont="1" applyBorder="1" applyAlignment="1">
      <alignment horizontal="center" wrapText="1"/>
    </xf>
    <xf numFmtId="2" fontId="1" fillId="0" borderId="119" xfId="0" applyNumberFormat="1" applyFont="1" applyBorder="1" applyAlignment="1">
      <alignment horizontal="center" wrapText="1"/>
    </xf>
    <xf numFmtId="2" fontId="15" fillId="0" borderId="31" xfId="0" applyNumberFormat="1" applyFont="1" applyBorder="1" applyAlignment="1">
      <alignment horizontal="center" vertical="top"/>
    </xf>
    <xf numFmtId="2" fontId="15" fillId="0" borderId="32" xfId="0" applyNumberFormat="1" applyFont="1" applyBorder="1" applyAlignment="1">
      <alignment horizontal="center" vertical="top"/>
    </xf>
    <xf numFmtId="2" fontId="15" fillId="0" borderId="33" xfId="0" applyNumberFormat="1" applyFont="1" applyBorder="1" applyAlignment="1">
      <alignment horizontal="center" vertical="top"/>
    </xf>
    <xf numFmtId="2" fontId="0" fillId="6" borderId="44" xfId="0" applyNumberFormat="1" applyFill="1" applyBorder="1" applyAlignment="1">
      <alignment horizontal="center"/>
    </xf>
    <xf numFmtId="2" fontId="0" fillId="6" borderId="5" xfId="0" applyNumberFormat="1" applyFill="1" applyBorder="1" applyAlignment="1">
      <alignment horizontal="left" vertical="top" wrapText="1"/>
    </xf>
    <xf numFmtId="2" fontId="0" fillId="6" borderId="6" xfId="0" applyNumberFormat="1" applyFill="1" applyBorder="1" applyAlignment="1">
      <alignment horizontal="left" vertical="top" wrapText="1"/>
    </xf>
    <xf numFmtId="2" fontId="0" fillId="6" borderId="7" xfId="0" applyNumberFormat="1" applyFill="1" applyBorder="1" applyAlignment="1">
      <alignment horizontal="left" vertical="top" wrapText="1"/>
    </xf>
    <xf numFmtId="2" fontId="0" fillId="0" borderId="112" xfId="0" applyNumberFormat="1" applyBorder="1" applyAlignment="1">
      <alignment horizontal="center" vertical="center" wrapText="1"/>
    </xf>
    <xf numFmtId="2" fontId="0" fillId="0" borderId="113" xfId="0" applyNumberFormat="1" applyBorder="1" applyAlignment="1">
      <alignment horizontal="center" vertical="center" wrapText="1"/>
    </xf>
    <xf numFmtId="2" fontId="0" fillId="0" borderId="114" xfId="0" applyNumberFormat="1" applyBorder="1" applyAlignment="1">
      <alignment horizontal="center" vertical="center" wrapText="1"/>
    </xf>
    <xf numFmtId="2" fontId="0" fillId="0" borderId="115" xfId="0" applyNumberFormat="1" applyBorder="1" applyAlignment="1">
      <alignment horizontal="center" vertical="center" wrapText="1"/>
    </xf>
    <xf numFmtId="2" fontId="0" fillId="0" borderId="0" xfId="0" applyNumberFormat="1" applyAlignment="1">
      <alignment horizontal="center" vertical="center" wrapText="1"/>
    </xf>
    <xf numFmtId="2" fontId="0" fillId="0" borderId="116" xfId="0" applyNumberFormat="1" applyBorder="1" applyAlignment="1">
      <alignment horizontal="center" vertical="center" wrapText="1"/>
    </xf>
    <xf numFmtId="2" fontId="0" fillId="0" borderId="117" xfId="0" applyNumberFormat="1" applyBorder="1" applyAlignment="1">
      <alignment horizontal="center" vertical="center" wrapText="1"/>
    </xf>
    <xf numFmtId="2" fontId="0" fillId="0" borderId="118" xfId="0" applyNumberFormat="1" applyBorder="1" applyAlignment="1">
      <alignment horizontal="center" vertical="center" wrapText="1"/>
    </xf>
    <xf numFmtId="2" fontId="0" fillId="0" borderId="119" xfId="0" applyNumberFormat="1" applyBorder="1" applyAlignment="1">
      <alignment horizontal="center" vertical="center" wrapText="1"/>
    </xf>
    <xf numFmtId="2" fontId="3" fillId="5" borderId="57" xfId="0" applyNumberFormat="1" applyFont="1" applyFill="1" applyBorder="1" applyAlignment="1">
      <alignment horizontal="center" vertical="top" wrapText="1"/>
    </xf>
    <xf numFmtId="2" fontId="3" fillId="5" borderId="58" xfId="0" applyNumberFormat="1" applyFont="1" applyFill="1" applyBorder="1" applyAlignment="1">
      <alignment horizontal="center" vertical="top" wrapText="1"/>
    </xf>
    <xf numFmtId="2" fontId="3" fillId="5" borderId="122" xfId="0" applyNumberFormat="1" applyFont="1" applyFill="1" applyBorder="1" applyAlignment="1">
      <alignment horizontal="center" vertical="top" wrapText="1"/>
    </xf>
    <xf numFmtId="2" fontId="0" fillId="5" borderId="57" xfId="0" applyNumberFormat="1" applyFill="1" applyBorder="1" applyAlignment="1">
      <alignment horizontal="left" vertical="top" wrapText="1"/>
    </xf>
    <xf numFmtId="2" fontId="0" fillId="5" borderId="58" xfId="0" applyNumberFormat="1" applyFill="1" applyBorder="1" applyAlignment="1">
      <alignment horizontal="left" vertical="top" wrapText="1"/>
    </xf>
    <xf numFmtId="2" fontId="0" fillId="5" borderId="122" xfId="0" applyNumberFormat="1" applyFill="1" applyBorder="1" applyAlignment="1">
      <alignment horizontal="left" vertical="top" wrapText="1"/>
    </xf>
    <xf numFmtId="2" fontId="0" fillId="0" borderId="52" xfId="0" applyNumberFormat="1" applyBorder="1" applyAlignment="1" applyProtection="1">
      <alignment horizontal="center"/>
      <protection locked="0"/>
    </xf>
    <xf numFmtId="0" fontId="3" fillId="5" borderId="52" xfId="0" applyFont="1" applyFill="1" applyBorder="1" applyAlignment="1">
      <alignment horizontal="center"/>
    </xf>
    <xf numFmtId="2" fontId="5" fillId="2" borderId="52" xfId="0" applyNumberFormat="1" applyFont="1" applyFill="1" applyBorder="1" applyAlignment="1">
      <alignment horizontal="center" wrapText="1"/>
    </xf>
    <xf numFmtId="2" fontId="0" fillId="2" borderId="52" xfId="0" applyNumberFormat="1" applyFill="1" applyBorder="1" applyAlignment="1" applyProtection="1">
      <alignment horizontal="center" wrapText="1"/>
      <protection locked="0"/>
    </xf>
    <xf numFmtId="2" fontId="3" fillId="5" borderId="112" xfId="0" applyNumberFormat="1" applyFont="1" applyFill="1" applyBorder="1" applyAlignment="1">
      <alignment horizontal="center" vertical="top" wrapText="1"/>
    </xf>
    <xf numFmtId="2" fontId="3" fillId="5" borderId="113" xfId="0" applyNumberFormat="1" applyFont="1" applyFill="1" applyBorder="1" applyAlignment="1">
      <alignment horizontal="center" vertical="top" wrapText="1"/>
    </xf>
    <xf numFmtId="2" fontId="3" fillId="5" borderId="114" xfId="0" applyNumberFormat="1" applyFont="1" applyFill="1" applyBorder="1" applyAlignment="1">
      <alignment horizontal="center" vertical="top" wrapText="1"/>
    </xf>
    <xf numFmtId="2" fontId="3" fillId="5" borderId="117" xfId="0" applyNumberFormat="1" applyFont="1" applyFill="1" applyBorder="1" applyAlignment="1">
      <alignment horizontal="center" vertical="top" wrapText="1"/>
    </xf>
    <xf numFmtId="2" fontId="3" fillId="5" borderId="118" xfId="0" applyNumberFormat="1" applyFont="1" applyFill="1" applyBorder="1" applyAlignment="1">
      <alignment horizontal="center" vertical="top" wrapText="1"/>
    </xf>
    <xf numFmtId="2" fontId="3" fillId="5" borderId="119" xfId="0" applyNumberFormat="1" applyFont="1" applyFill="1" applyBorder="1" applyAlignment="1">
      <alignment horizontal="center" vertical="top" wrapText="1"/>
    </xf>
    <xf numFmtId="2" fontId="3" fillId="0" borderId="57" xfId="0" applyNumberFormat="1" applyFont="1" applyBorder="1" applyAlignment="1">
      <alignment horizontal="center" wrapText="1"/>
    </xf>
    <xf numFmtId="2" fontId="3" fillId="0" borderId="122" xfId="0" applyNumberFormat="1" applyFont="1" applyBorder="1" applyAlignment="1">
      <alignment horizontal="center" wrapText="1"/>
    </xf>
    <xf numFmtId="2" fontId="3" fillId="5" borderId="57" xfId="0" applyNumberFormat="1" applyFont="1" applyFill="1" applyBorder="1" applyAlignment="1">
      <alignment horizontal="center"/>
    </xf>
    <xf numFmtId="2" fontId="3" fillId="5" borderId="122" xfId="0" applyNumberFormat="1" applyFont="1" applyFill="1" applyBorder="1" applyAlignment="1">
      <alignment horizontal="center"/>
    </xf>
    <xf numFmtId="2" fontId="0" fillId="0" borderId="57" xfId="0" applyNumberFormat="1" applyBorder="1" applyAlignment="1">
      <alignment horizontal="center" vertical="center"/>
    </xf>
    <xf numFmtId="2" fontId="0" fillId="0" borderId="58" xfId="0" applyNumberFormat="1" applyBorder="1" applyAlignment="1">
      <alignment horizontal="center" vertical="center"/>
    </xf>
    <xf numFmtId="2" fontId="0" fillId="0" borderId="122" xfId="0" applyNumberFormat="1" applyBorder="1" applyAlignment="1">
      <alignment horizontal="center" vertical="center"/>
    </xf>
    <xf numFmtId="165" fontId="5" fillId="2" borderId="52" xfId="0" applyNumberFormat="1" applyFont="1" applyFill="1" applyBorder="1" applyAlignment="1">
      <alignment horizontal="center" wrapText="1"/>
    </xf>
    <xf numFmtId="1" fontId="0" fillId="3" borderId="52" xfId="0" applyNumberFormat="1" applyFill="1" applyBorder="1" applyAlignment="1">
      <alignment horizontal="center"/>
    </xf>
    <xf numFmtId="2" fontId="0" fillId="5" borderId="112" xfId="0" applyNumberFormat="1" applyFill="1" applyBorder="1" applyAlignment="1">
      <alignment horizontal="center" wrapText="1"/>
    </xf>
    <xf numFmtId="2" fontId="0" fillId="5" borderId="113" xfId="0" applyNumberFormat="1" applyFill="1" applyBorder="1" applyAlignment="1">
      <alignment horizontal="center" wrapText="1"/>
    </xf>
    <xf numFmtId="2" fontId="0" fillId="5" borderId="114" xfId="0" applyNumberFormat="1" applyFill="1" applyBorder="1" applyAlignment="1">
      <alignment horizontal="center" wrapText="1"/>
    </xf>
    <xf numFmtId="0" fontId="3" fillId="5" borderId="58" xfId="0" applyFont="1" applyFill="1" applyBorder="1" applyAlignment="1">
      <alignment horizontal="center"/>
    </xf>
    <xf numFmtId="2" fontId="4" fillId="3" borderId="57" xfId="0" applyNumberFormat="1" applyFont="1" applyFill="1" applyBorder="1" applyAlignment="1" applyProtection="1">
      <alignment horizontal="center" wrapText="1"/>
      <protection locked="0"/>
    </xf>
    <xf numFmtId="2" fontId="4" fillId="3" borderId="58" xfId="0" applyNumberFormat="1" applyFont="1" applyFill="1" applyBorder="1" applyAlignment="1" applyProtection="1">
      <alignment horizontal="center" wrapText="1"/>
      <protection locked="0"/>
    </xf>
    <xf numFmtId="2" fontId="4" fillId="3" borderId="122" xfId="0" applyNumberFormat="1" applyFont="1" applyFill="1" applyBorder="1" applyAlignment="1" applyProtection="1">
      <alignment horizontal="center" wrapText="1"/>
      <protection locked="0"/>
    </xf>
    <xf numFmtId="0" fontId="0" fillId="20" borderId="57" xfId="0" applyFill="1" applyBorder="1" applyAlignment="1">
      <alignment horizontal="center" vertical="center"/>
    </xf>
    <xf numFmtId="0" fontId="0" fillId="20" borderId="122" xfId="0" applyFill="1" applyBorder="1" applyAlignment="1">
      <alignment horizontal="center" vertical="center"/>
    </xf>
    <xf numFmtId="2" fontId="0" fillId="0" borderId="57" xfId="0" applyNumberFormat="1" applyBorder="1" applyAlignment="1" applyProtection="1">
      <alignment horizontal="center"/>
      <protection locked="0"/>
    </xf>
    <xf numFmtId="2" fontId="0" fillId="0" borderId="122" xfId="0" applyNumberFormat="1" applyBorder="1" applyAlignment="1" applyProtection="1">
      <alignment horizontal="center"/>
      <protection locked="0"/>
    </xf>
    <xf numFmtId="2" fontId="0" fillId="20" borderId="57" xfId="0" applyNumberFormat="1" applyFill="1" applyBorder="1" applyAlignment="1">
      <alignment horizontal="center"/>
    </xf>
    <xf numFmtId="2" fontId="0" fillId="20" borderId="122" xfId="0" applyNumberFormat="1" applyFill="1" applyBorder="1" applyAlignment="1">
      <alignment horizontal="center"/>
    </xf>
    <xf numFmtId="2" fontId="5" fillId="5" borderId="57" xfId="0" applyNumberFormat="1" applyFont="1" applyFill="1" applyBorder="1" applyAlignment="1">
      <alignment horizontal="center" vertical="top" wrapText="1"/>
    </xf>
    <xf numFmtId="2" fontId="5" fillId="5" borderId="58" xfId="0" applyNumberFormat="1" applyFont="1" applyFill="1" applyBorder="1" applyAlignment="1">
      <alignment horizontal="center" vertical="top" wrapText="1"/>
    </xf>
    <xf numFmtId="2" fontId="5" fillId="5" borderId="122" xfId="0" applyNumberFormat="1" applyFont="1" applyFill="1" applyBorder="1" applyAlignment="1">
      <alignment horizontal="center" vertical="top" wrapText="1"/>
    </xf>
    <xf numFmtId="1" fontId="0" fillId="0" borderId="52" xfId="0" applyNumberFormat="1" applyBorder="1" applyAlignment="1" applyProtection="1">
      <alignment horizontal="center"/>
      <protection locked="0"/>
    </xf>
    <xf numFmtId="165" fontId="0" fillId="0" borderId="52" xfId="0" applyNumberFormat="1" applyBorder="1" applyAlignment="1" applyProtection="1">
      <alignment horizontal="center"/>
      <protection locked="0"/>
    </xf>
    <xf numFmtId="2" fontId="15" fillId="6" borderId="0" xfId="0" applyNumberFormat="1" applyFont="1" applyFill="1" applyAlignment="1">
      <alignment horizontal="center" vertical="top"/>
    </xf>
    <xf numFmtId="2" fontId="15" fillId="6" borderId="116" xfId="0" applyNumberFormat="1" applyFont="1" applyFill="1" applyBorder="1" applyAlignment="1">
      <alignment horizontal="center" vertical="top"/>
    </xf>
    <xf numFmtId="166" fontId="77" fillId="0" borderId="57" xfId="0" applyNumberFormat="1" applyFont="1" applyBorder="1" applyAlignment="1">
      <alignment horizontal="center" vertical="center" wrapText="1"/>
    </xf>
    <xf numFmtId="166" fontId="77" fillId="0" borderId="58" xfId="0" applyNumberFormat="1" applyFont="1" applyBorder="1" applyAlignment="1">
      <alignment horizontal="center" vertical="center" wrapText="1"/>
    </xf>
    <xf numFmtId="166" fontId="77" fillId="0" borderId="122" xfId="0" applyNumberFormat="1" applyFont="1" applyBorder="1" applyAlignment="1">
      <alignment horizontal="center" vertical="center" wrapText="1"/>
    </xf>
    <xf numFmtId="2" fontId="1" fillId="5" borderId="112" xfId="0" applyNumberFormat="1" applyFont="1" applyFill="1" applyBorder="1" applyAlignment="1">
      <alignment horizontal="center" vertical="top" wrapText="1"/>
    </xf>
    <xf numFmtId="2" fontId="1" fillId="5" borderId="114" xfId="0" applyNumberFormat="1" applyFont="1" applyFill="1" applyBorder="1" applyAlignment="1">
      <alignment horizontal="center" vertical="top" wrapText="1"/>
    </xf>
    <xf numFmtId="2" fontId="1" fillId="5" borderId="115" xfId="0" applyNumberFormat="1" applyFont="1" applyFill="1" applyBorder="1" applyAlignment="1">
      <alignment horizontal="center" vertical="top" wrapText="1"/>
    </xf>
    <xf numFmtId="2" fontId="1" fillId="5" borderId="116" xfId="0" applyNumberFormat="1" applyFont="1" applyFill="1" applyBorder="1" applyAlignment="1">
      <alignment horizontal="center" vertical="top" wrapText="1"/>
    </xf>
    <xf numFmtId="2" fontId="1" fillId="5" borderId="117" xfId="0" applyNumberFormat="1" applyFont="1" applyFill="1" applyBorder="1" applyAlignment="1">
      <alignment horizontal="center" vertical="top" wrapText="1"/>
    </xf>
    <xf numFmtId="2" fontId="1" fillId="5" borderId="119" xfId="0" applyNumberFormat="1" applyFont="1" applyFill="1" applyBorder="1" applyAlignment="1">
      <alignment horizontal="center" vertical="top" wrapText="1"/>
    </xf>
    <xf numFmtId="2" fontId="2" fillId="0" borderId="112" xfId="0" applyNumberFormat="1" applyFont="1" applyBorder="1" applyAlignment="1">
      <alignment horizontal="left" vertical="center" wrapText="1"/>
    </xf>
    <xf numFmtId="2" fontId="2" fillId="0" borderId="113" xfId="0" applyNumberFormat="1" applyFont="1" applyBorder="1" applyAlignment="1">
      <alignment horizontal="left" vertical="center" wrapText="1"/>
    </xf>
    <xf numFmtId="2" fontId="2" fillId="0" borderId="114" xfId="0" applyNumberFormat="1" applyFont="1" applyBorder="1" applyAlignment="1">
      <alignment horizontal="left" vertical="center" wrapText="1"/>
    </xf>
    <xf numFmtId="2" fontId="2" fillId="0" borderId="115" xfId="0" applyNumberFormat="1" applyFont="1" applyBorder="1" applyAlignment="1">
      <alignment horizontal="left" vertical="center" wrapText="1"/>
    </xf>
    <xf numFmtId="2" fontId="2" fillId="0" borderId="0" xfId="0" applyNumberFormat="1" applyFont="1" applyAlignment="1">
      <alignment horizontal="left" vertical="center" wrapText="1"/>
    </xf>
    <xf numFmtId="2" fontId="2" fillId="0" borderId="116" xfId="0" applyNumberFormat="1" applyFont="1" applyBorder="1" applyAlignment="1">
      <alignment horizontal="left" vertical="center" wrapText="1"/>
    </xf>
    <xf numFmtId="2" fontId="2" fillId="0" borderId="117" xfId="0" applyNumberFormat="1" applyFont="1" applyBorder="1" applyAlignment="1">
      <alignment horizontal="left" vertical="center" wrapText="1"/>
    </xf>
    <xf numFmtId="2" fontId="2" fillId="0" borderId="118" xfId="0" applyNumberFormat="1" applyFont="1" applyBorder="1" applyAlignment="1">
      <alignment horizontal="left" vertical="center" wrapText="1"/>
    </xf>
    <xf numFmtId="2" fontId="2" fillId="0" borderId="119" xfId="0" applyNumberFormat="1" applyFont="1" applyBorder="1" applyAlignment="1">
      <alignment horizontal="left" vertical="center" wrapText="1"/>
    </xf>
    <xf numFmtId="2" fontId="0" fillId="9" borderId="135" xfId="0" applyNumberFormat="1" applyFill="1" applyBorder="1" applyAlignment="1">
      <alignment horizontal="center" vertical="top" wrapText="1"/>
    </xf>
    <xf numFmtId="2" fontId="0" fillId="9" borderId="137" xfId="0" applyNumberFormat="1" applyFill="1" applyBorder="1" applyAlignment="1">
      <alignment horizontal="center" vertical="top" wrapText="1"/>
    </xf>
    <xf numFmtId="2" fontId="0" fillId="9" borderId="140" xfId="0" applyNumberFormat="1" applyFill="1" applyBorder="1" applyAlignment="1">
      <alignment horizontal="center" vertical="top" wrapText="1"/>
    </xf>
    <xf numFmtId="2" fontId="0" fillId="9" borderId="142" xfId="0" applyNumberFormat="1" applyFill="1" applyBorder="1" applyAlignment="1">
      <alignment horizontal="center" vertical="top" wrapText="1"/>
    </xf>
    <xf numFmtId="2" fontId="0" fillId="0" borderId="135" xfId="0" applyNumberFormat="1" applyBorder="1" applyAlignment="1">
      <alignment horizontal="center" vertical="center" wrapText="1"/>
    </xf>
    <xf numFmtId="2" fontId="0" fillId="0" borderId="137" xfId="0" applyNumberFormat="1" applyBorder="1" applyAlignment="1">
      <alignment horizontal="center" vertical="center" wrapText="1"/>
    </xf>
    <xf numFmtId="2" fontId="0" fillId="0" borderId="140" xfId="0" applyNumberFormat="1" applyBorder="1" applyAlignment="1">
      <alignment horizontal="center" vertical="center" wrapText="1"/>
    </xf>
    <xf numFmtId="2" fontId="0" fillId="0" borderId="142" xfId="0" applyNumberFormat="1" applyBorder="1" applyAlignment="1">
      <alignment horizontal="center" vertical="center" wrapText="1"/>
    </xf>
    <xf numFmtId="2" fontId="3" fillId="9" borderId="46" xfId="0" applyNumberFormat="1" applyFont="1" applyFill="1" applyBorder="1" applyAlignment="1">
      <alignment horizontal="center" vertical="top"/>
    </xf>
    <xf numFmtId="2" fontId="3" fillId="9" borderId="47" xfId="0" applyNumberFormat="1" applyFont="1" applyFill="1" applyBorder="1" applyAlignment="1">
      <alignment horizontal="center" vertical="top"/>
    </xf>
    <xf numFmtId="2" fontId="0" fillId="0" borderId="46" xfId="0" applyNumberFormat="1" applyBorder="1" applyAlignment="1">
      <alignment horizontal="center" vertical="center" wrapText="1"/>
    </xf>
    <xf numFmtId="2" fontId="0" fillId="0" borderId="47" xfId="0" applyNumberFormat="1" applyBorder="1" applyAlignment="1">
      <alignment horizontal="center" vertical="center" wrapText="1"/>
    </xf>
    <xf numFmtId="2" fontId="42" fillId="9" borderId="143" xfId="0" applyNumberFormat="1" applyFont="1" applyFill="1" applyBorder="1" applyAlignment="1">
      <alignment horizontal="center" vertical="top"/>
    </xf>
    <xf numFmtId="2" fontId="42" fillId="9" borderId="144" xfId="0" applyNumberFormat="1" applyFont="1" applyFill="1" applyBorder="1" applyAlignment="1">
      <alignment horizontal="center" vertical="top"/>
    </xf>
    <xf numFmtId="0" fontId="3" fillId="9" borderId="148" xfId="0" applyFont="1" applyFill="1" applyBorder="1" applyAlignment="1">
      <alignment horizontal="left" vertical="center"/>
    </xf>
    <xf numFmtId="0" fontId="3" fillId="9" borderId="151" xfId="0" applyFont="1" applyFill="1" applyBorder="1" applyAlignment="1">
      <alignment horizontal="left" vertical="center"/>
    </xf>
    <xf numFmtId="0" fontId="4" fillId="9" borderId="150" xfId="0" applyFont="1" applyFill="1" applyBorder="1" applyAlignment="1">
      <alignment horizontal="center" vertical="center" wrapText="1"/>
    </xf>
    <xf numFmtId="0" fontId="4" fillId="9" borderId="152" xfId="0" applyFont="1" applyFill="1" applyBorder="1" applyAlignment="1">
      <alignment horizontal="center" vertical="center" wrapText="1"/>
    </xf>
    <xf numFmtId="0" fontId="3" fillId="9" borderId="149" xfId="0" applyFont="1" applyFill="1" applyBorder="1" applyAlignment="1">
      <alignment horizontal="center" wrapText="1"/>
    </xf>
    <xf numFmtId="0" fontId="3" fillId="9" borderId="145" xfId="0" applyFont="1" applyFill="1" applyBorder="1" applyAlignment="1">
      <alignment horizontal="center" wrapText="1"/>
    </xf>
    <xf numFmtId="0" fontId="71" fillId="9" borderId="46" xfId="0" applyFont="1" applyFill="1" applyBorder="1" applyAlignment="1">
      <alignment horizontal="center"/>
    </xf>
    <xf numFmtId="0" fontId="71" fillId="9" borderId="163" xfId="0" applyFont="1" applyFill="1" applyBorder="1" applyAlignment="1">
      <alignment horizontal="center"/>
    </xf>
    <xf numFmtId="0" fontId="71" fillId="9" borderId="47" xfId="0" applyFont="1" applyFill="1" applyBorder="1" applyAlignment="1">
      <alignment horizontal="center"/>
    </xf>
    <xf numFmtId="0" fontId="5" fillId="9" borderId="46" xfId="0" applyFont="1" applyFill="1" applyBorder="1" applyAlignment="1">
      <alignment horizontal="center" vertical="center" wrapText="1"/>
    </xf>
    <xf numFmtId="0" fontId="5" fillId="9" borderId="47" xfId="0" applyFont="1" applyFill="1" applyBorder="1" applyAlignment="1">
      <alignment horizontal="center" vertical="center" wrapText="1"/>
    </xf>
    <xf numFmtId="0" fontId="71" fillId="9" borderId="146" xfId="0" applyFont="1" applyFill="1" applyBorder="1" applyAlignment="1">
      <alignment horizontal="center"/>
    </xf>
    <xf numFmtId="0" fontId="71" fillId="9" borderId="147" xfId="0" applyFont="1" applyFill="1" applyBorder="1" applyAlignment="1">
      <alignment horizontal="center"/>
    </xf>
    <xf numFmtId="0" fontId="0" fillId="3" borderId="45" xfId="0" applyFill="1" applyBorder="1" applyAlignment="1">
      <alignment horizontal="left" vertical="center" wrapText="1"/>
    </xf>
    <xf numFmtId="0" fontId="0" fillId="3" borderId="45" xfId="0" applyFill="1" applyBorder="1" applyAlignment="1">
      <alignment horizontal="center" vertical="center"/>
    </xf>
    <xf numFmtId="0" fontId="0" fillId="0" borderId="45" xfId="0" applyBorder="1" applyAlignment="1">
      <alignment horizontal="left"/>
    </xf>
    <xf numFmtId="0" fontId="0" fillId="3" borderId="45" xfId="0" applyFill="1" applyBorder="1" applyAlignment="1">
      <alignment horizontal="left" vertical="top" wrapText="1"/>
    </xf>
    <xf numFmtId="0" fontId="20" fillId="3" borderId="45" xfId="0" applyFont="1" applyFill="1" applyBorder="1" applyAlignment="1">
      <alignment horizontal="left"/>
    </xf>
    <xf numFmtId="0" fontId="3" fillId="9" borderId="46" xfId="0" applyFont="1" applyFill="1" applyBorder="1" applyAlignment="1">
      <alignment horizontal="center"/>
    </xf>
    <xf numFmtId="0" fontId="3" fillId="9" borderId="163" xfId="0" applyFont="1" applyFill="1" applyBorder="1" applyAlignment="1">
      <alignment horizontal="center"/>
    </xf>
    <xf numFmtId="0" fontId="3" fillId="9" borderId="47" xfId="0" applyFont="1" applyFill="1" applyBorder="1" applyAlignment="1">
      <alignment horizontal="center"/>
    </xf>
    <xf numFmtId="0" fontId="0" fillId="6" borderId="45" xfId="0" applyFill="1" applyBorder="1" applyAlignment="1">
      <alignment horizontal="left" vertical="top" wrapText="1"/>
    </xf>
    <xf numFmtId="0" fontId="0" fillId="0" borderId="45" xfId="0" applyBorder="1" applyAlignment="1">
      <alignment horizontal="left" vertical="top" wrapText="1"/>
    </xf>
    <xf numFmtId="0" fontId="8" fillId="3" borderId="45" xfId="0" applyFont="1" applyFill="1" applyBorder="1" applyAlignment="1">
      <alignment horizontal="left"/>
    </xf>
    <xf numFmtId="0" fontId="0" fillId="0" borderId="46" xfId="0" applyBorder="1" applyAlignment="1">
      <alignment horizontal="left" vertical="top" wrapText="1"/>
    </xf>
    <xf numFmtId="0" fontId="0" fillId="0" borderId="163" xfId="0" applyBorder="1" applyAlignment="1">
      <alignment horizontal="left" vertical="top" wrapText="1"/>
    </xf>
    <xf numFmtId="0" fontId="0" fillId="0" borderId="47" xfId="0" applyBorder="1" applyAlignment="1">
      <alignment horizontal="left" vertical="top" wrapText="1"/>
    </xf>
    <xf numFmtId="0" fontId="0" fillId="3" borderId="45" xfId="0" applyFill="1" applyBorder="1" applyAlignment="1">
      <alignment horizontal="left"/>
    </xf>
    <xf numFmtId="0" fontId="0" fillId="0" borderId="45" xfId="0" applyBorder="1" applyAlignment="1">
      <alignment horizontal="left" vertical="center" wrapText="1"/>
    </xf>
    <xf numFmtId="0" fontId="0" fillId="0" borderId="45" xfId="0" applyBorder="1" applyAlignment="1">
      <alignment horizontal="left" vertical="top"/>
    </xf>
    <xf numFmtId="0" fontId="4" fillId="3" borderId="164" xfId="0" applyFont="1" applyFill="1" applyBorder="1" applyAlignment="1">
      <alignment horizontal="left"/>
    </xf>
    <xf numFmtId="0" fontId="4" fillId="3" borderId="165" xfId="0" applyFont="1" applyFill="1" applyBorder="1" applyAlignment="1">
      <alignment horizontal="left"/>
    </xf>
    <xf numFmtId="0" fontId="0" fillId="9" borderId="45" xfId="0" applyFill="1" applyBorder="1" applyAlignment="1">
      <alignment horizontal="left" vertical="top" wrapText="1"/>
    </xf>
    <xf numFmtId="0" fontId="0" fillId="9" borderId="45" xfId="0" applyFill="1" applyBorder="1" applyAlignment="1">
      <alignment horizontal="left" vertical="top"/>
    </xf>
    <xf numFmtId="0" fontId="5" fillId="20" borderId="45" xfId="0" applyFont="1" applyFill="1" applyBorder="1" applyAlignment="1">
      <alignment horizontal="left" vertical="top"/>
    </xf>
    <xf numFmtId="0" fontId="0" fillId="20" borderId="45" xfId="0" applyFill="1" applyBorder="1" applyAlignment="1">
      <alignment horizontal="left" vertical="top" wrapText="1"/>
    </xf>
    <xf numFmtId="0" fontId="0" fillId="20" borderId="135" xfId="0" applyFill="1" applyBorder="1" applyAlignment="1">
      <alignment horizontal="left" vertical="top" wrapText="1"/>
    </xf>
    <xf numFmtId="0" fontId="0" fillId="20" borderId="137" xfId="0" applyFill="1" applyBorder="1" applyAlignment="1">
      <alignment horizontal="left" vertical="top" wrapText="1"/>
    </xf>
    <xf numFmtId="0" fontId="0" fillId="20" borderId="140" xfId="0" applyFill="1" applyBorder="1" applyAlignment="1">
      <alignment horizontal="left" vertical="top" wrapText="1"/>
    </xf>
    <xf numFmtId="0" fontId="0" fillId="20" borderId="142" xfId="0" applyFill="1" applyBorder="1" applyAlignment="1">
      <alignment horizontal="left" vertical="top" wrapText="1"/>
    </xf>
    <xf numFmtId="0" fontId="4" fillId="3" borderId="45" xfId="0" applyFont="1" applyFill="1" applyBorder="1" applyAlignment="1">
      <alignment horizontal="left" vertical="center"/>
    </xf>
    <xf numFmtId="0" fontId="5" fillId="20" borderId="45" xfId="0" applyFont="1" applyFill="1" applyBorder="1" applyAlignment="1">
      <alignment horizontal="left" vertical="center"/>
    </xf>
    <xf numFmtId="0" fontId="1" fillId="20" borderId="45" xfId="0" applyFont="1" applyFill="1" applyBorder="1" applyAlignment="1">
      <alignment horizontal="left"/>
    </xf>
    <xf numFmtId="0" fontId="0" fillId="9" borderId="45" xfId="0" applyFill="1" applyBorder="1" applyAlignment="1">
      <alignment horizontal="left"/>
    </xf>
    <xf numFmtId="0" fontId="0" fillId="9" borderId="45" xfId="0" applyFill="1" applyBorder="1" applyAlignment="1">
      <alignment horizontal="left" wrapText="1"/>
    </xf>
    <xf numFmtId="0" fontId="5" fillId="3" borderId="45" xfId="0" applyFont="1" applyFill="1" applyBorder="1" applyAlignment="1">
      <alignment horizontal="left" vertical="center" wrapText="1"/>
    </xf>
    <xf numFmtId="0" fontId="5" fillId="3" borderId="45" xfId="0" applyFont="1" applyFill="1" applyBorder="1" applyAlignment="1">
      <alignment horizontal="left" vertical="center"/>
    </xf>
    <xf numFmtId="0" fontId="0" fillId="0" borderId="0" xfId="0" applyAlignment="1">
      <alignment horizontal="center" vertical="top"/>
    </xf>
    <xf numFmtId="0" fontId="4" fillId="20" borderId="45" xfId="0" applyFont="1" applyFill="1" applyBorder="1" applyAlignment="1">
      <alignment horizontal="left" vertical="top"/>
    </xf>
    <xf numFmtId="0" fontId="0" fillId="3" borderId="45" xfId="0" applyFill="1" applyBorder="1" applyAlignment="1">
      <alignment vertical="top" wrapText="1"/>
    </xf>
    <xf numFmtId="0" fontId="5" fillId="0" borderId="45" xfId="0" applyFont="1" applyBorder="1" applyAlignment="1">
      <alignment horizontal="center"/>
    </xf>
    <xf numFmtId="0" fontId="2" fillId="9" borderId="46" xfId="0" applyFont="1" applyFill="1" applyBorder="1" applyAlignment="1">
      <alignment horizontal="left" vertical="top"/>
    </xf>
    <xf numFmtId="0" fontId="2" fillId="9" borderId="163" xfId="0" applyFont="1" applyFill="1" applyBorder="1" applyAlignment="1">
      <alignment horizontal="left" vertical="top"/>
    </xf>
    <xf numFmtId="0" fontId="2" fillId="9" borderId="47" xfId="0" applyFont="1" applyFill="1" applyBorder="1" applyAlignment="1">
      <alignment horizontal="left" vertical="top"/>
    </xf>
    <xf numFmtId="0" fontId="14" fillId="0" borderId="45" xfId="1" applyBorder="1" applyAlignment="1">
      <alignment horizontal="center"/>
    </xf>
    <xf numFmtId="0" fontId="3" fillId="9" borderId="135" xfId="0" applyFont="1" applyFill="1" applyBorder="1" applyAlignment="1">
      <alignment horizontal="center" vertical="center"/>
    </xf>
    <xf numFmtId="0" fontId="3" fillId="9" borderId="136" xfId="0" applyFont="1" applyFill="1" applyBorder="1" applyAlignment="1">
      <alignment horizontal="center" vertical="center"/>
    </xf>
    <xf numFmtId="0" fontId="3" fillId="9" borderId="137" xfId="0" applyFont="1" applyFill="1" applyBorder="1" applyAlignment="1">
      <alignment horizontal="center" vertical="center"/>
    </xf>
    <xf numFmtId="0" fontId="3" fillId="9" borderId="140" xfId="0" applyFont="1" applyFill="1" applyBorder="1" applyAlignment="1">
      <alignment horizontal="center" vertical="center"/>
    </xf>
    <xf numFmtId="0" fontId="3" fillId="9" borderId="141" xfId="0" applyFont="1" applyFill="1" applyBorder="1" applyAlignment="1">
      <alignment horizontal="center" vertical="center"/>
    </xf>
    <xf numFmtId="0" fontId="3" fillId="9" borderId="142" xfId="0" applyFont="1" applyFill="1" applyBorder="1" applyAlignment="1">
      <alignment horizontal="center" vertical="center"/>
    </xf>
    <xf numFmtId="2" fontId="0" fillId="0" borderId="45" xfId="0" applyNumberFormat="1" applyBorder="1" applyAlignment="1" applyProtection="1">
      <alignment horizontal="center" wrapText="1"/>
      <protection locked="0"/>
    </xf>
    <xf numFmtId="0" fontId="72" fillId="9" borderId="46" xfId="0" applyFont="1" applyFill="1" applyBorder="1" applyAlignment="1">
      <alignment horizontal="center"/>
    </xf>
    <xf numFmtId="0" fontId="72" fillId="9" borderId="163" xfId="0" applyFont="1" applyFill="1" applyBorder="1" applyAlignment="1">
      <alignment horizontal="center"/>
    </xf>
    <xf numFmtId="0" fontId="72" fillId="9" borderId="47" xfId="0" applyFont="1" applyFill="1" applyBorder="1" applyAlignment="1">
      <alignment horizontal="center"/>
    </xf>
    <xf numFmtId="0" fontId="3" fillId="25" borderId="109" xfId="0" applyFont="1" applyFill="1" applyBorder="1" applyAlignment="1">
      <alignment horizontal="center" wrapText="1"/>
    </xf>
    <xf numFmtId="0" fontId="3" fillId="25" borderId="110" xfId="0" applyFont="1" applyFill="1" applyBorder="1" applyAlignment="1">
      <alignment horizontal="center" wrapText="1"/>
    </xf>
    <xf numFmtId="0" fontId="3" fillId="25" borderId="111" xfId="0" applyFont="1" applyFill="1" applyBorder="1" applyAlignment="1">
      <alignment horizontal="center" wrapText="1"/>
    </xf>
    <xf numFmtId="0" fontId="0" fillId="4" borderId="45" xfId="0" applyFill="1" applyBorder="1" applyAlignment="1">
      <alignment horizontal="left"/>
    </xf>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0" fillId="0" borderId="137" xfId="0" applyBorder="1" applyAlignment="1">
      <alignment horizontal="center" vertical="center" wrapText="1"/>
    </xf>
    <xf numFmtId="0" fontId="0" fillId="0" borderId="138" xfId="0" applyBorder="1" applyAlignment="1">
      <alignment horizontal="center" vertical="center" wrapText="1"/>
    </xf>
    <xf numFmtId="0" fontId="0" fillId="0" borderId="0" xfId="0" applyAlignment="1">
      <alignment horizontal="center" vertical="center" wrapText="1"/>
    </xf>
    <xf numFmtId="0" fontId="0" fillId="0" borderId="139" xfId="0" applyBorder="1" applyAlignment="1">
      <alignment horizontal="center" vertical="center" wrapText="1"/>
    </xf>
    <xf numFmtId="0" fontId="0" fillId="6" borderId="138" xfId="0" applyFill="1" applyBorder="1" applyAlignment="1">
      <alignment horizontal="center"/>
    </xf>
    <xf numFmtId="0" fontId="0" fillId="6" borderId="0" xfId="0" applyFill="1" applyAlignment="1">
      <alignment horizontal="center"/>
    </xf>
    <xf numFmtId="0" fontId="0" fillId="6" borderId="139" xfId="0" applyFill="1" applyBorder="1" applyAlignment="1">
      <alignment horizontal="center"/>
    </xf>
    <xf numFmtId="0" fontId="80" fillId="9" borderId="46" xfId="0" applyFont="1" applyFill="1" applyBorder="1" applyAlignment="1">
      <alignment horizontal="center"/>
    </xf>
    <xf numFmtId="0" fontId="80" fillId="9" borderId="163" xfId="0" applyFont="1" applyFill="1" applyBorder="1" applyAlignment="1">
      <alignment horizontal="center"/>
    </xf>
    <xf numFmtId="0" fontId="80" fillId="9" borderId="47" xfId="0" applyFont="1" applyFill="1" applyBorder="1" applyAlignment="1">
      <alignment horizontal="center"/>
    </xf>
    <xf numFmtId="0" fontId="81" fillId="9" borderId="135" xfId="0" applyFont="1" applyFill="1" applyBorder="1" applyAlignment="1">
      <alignment horizontal="center"/>
    </xf>
    <xf numFmtId="0" fontId="81" fillId="9" borderId="136" xfId="0" applyFont="1" applyFill="1" applyBorder="1" applyAlignment="1">
      <alignment horizontal="center"/>
    </xf>
    <xf numFmtId="0" fontId="81" fillId="9" borderId="137" xfId="0" applyFont="1" applyFill="1" applyBorder="1" applyAlignment="1">
      <alignment horizontal="center"/>
    </xf>
    <xf numFmtId="0" fontId="17" fillId="0" borderId="138" xfId="0" applyFont="1" applyBorder="1" applyAlignment="1">
      <alignment horizontal="left" vertical="top" wrapText="1"/>
    </xf>
    <xf numFmtId="0" fontId="46" fillId="0" borderId="0" xfId="0" applyFont="1" applyAlignment="1">
      <alignment horizontal="left" vertical="top" wrapText="1"/>
    </xf>
    <xf numFmtId="0" fontId="46" fillId="0" borderId="139" xfId="0" applyFont="1" applyBorder="1" applyAlignment="1">
      <alignment horizontal="left" vertical="top" wrapText="1"/>
    </xf>
    <xf numFmtId="0" fontId="46" fillId="0" borderId="138" xfId="0" applyFont="1" applyBorder="1" applyAlignment="1">
      <alignment horizontal="left" vertical="top" wrapText="1"/>
    </xf>
    <xf numFmtId="0" fontId="46" fillId="0" borderId="140" xfId="0" applyFont="1" applyBorder="1" applyAlignment="1">
      <alignment horizontal="left" vertical="top" wrapText="1"/>
    </xf>
    <xf numFmtId="0" fontId="46" fillId="0" borderId="141" xfId="0" applyFont="1" applyBorder="1" applyAlignment="1">
      <alignment horizontal="left" vertical="top" wrapText="1"/>
    </xf>
    <xf numFmtId="0" fontId="46" fillId="0" borderId="142" xfId="0" applyFont="1" applyBorder="1" applyAlignment="1">
      <alignment horizontal="left" vertical="top" wrapText="1"/>
    </xf>
    <xf numFmtId="0" fontId="50" fillId="20" borderId="45" xfId="0" applyFont="1" applyFill="1" applyBorder="1" applyAlignment="1">
      <alignment horizontal="left"/>
    </xf>
    <xf numFmtId="0" fontId="68" fillId="20" borderId="45" xfId="0" applyFont="1" applyFill="1" applyBorder="1" applyAlignment="1">
      <alignment horizontal="left"/>
    </xf>
    <xf numFmtId="0" fontId="48" fillId="20" borderId="45" xfId="0" applyFont="1" applyFill="1" applyBorder="1" applyAlignment="1">
      <alignment horizontal="left"/>
    </xf>
    <xf numFmtId="0" fontId="67" fillId="9" borderId="46" xfId="0" applyFont="1" applyFill="1" applyBorder="1" applyAlignment="1">
      <alignment horizontal="center" wrapText="1"/>
    </xf>
    <xf numFmtId="0" fontId="67" fillId="9" borderId="163" xfId="0" applyFont="1" applyFill="1" applyBorder="1" applyAlignment="1">
      <alignment horizontal="center" wrapText="1"/>
    </xf>
    <xf numFmtId="0" fontId="67" fillId="9" borderId="47" xfId="0" applyFont="1" applyFill="1" applyBorder="1" applyAlignment="1">
      <alignment horizontal="center" wrapText="1"/>
    </xf>
    <xf numFmtId="0" fontId="65" fillId="14" borderId="135" xfId="0" applyFont="1" applyFill="1" applyBorder="1" applyAlignment="1">
      <alignment horizontal="center" vertical="center" wrapText="1"/>
    </xf>
    <xf numFmtId="0" fontId="65" fillId="14" borderId="136" xfId="0" applyFont="1" applyFill="1" applyBorder="1" applyAlignment="1">
      <alignment horizontal="center" vertical="center" wrapText="1"/>
    </xf>
    <xf numFmtId="0" fontId="65" fillId="14" borderId="137" xfId="0" applyFont="1" applyFill="1" applyBorder="1" applyAlignment="1">
      <alignment horizontal="center" vertical="center" wrapText="1"/>
    </xf>
    <xf numFmtId="0" fontId="65" fillId="14" borderId="140" xfId="0" applyFont="1" applyFill="1" applyBorder="1" applyAlignment="1">
      <alignment horizontal="center" vertical="center" wrapText="1"/>
    </xf>
    <xf numFmtId="0" fontId="65" fillId="14" borderId="141" xfId="0" applyFont="1" applyFill="1" applyBorder="1" applyAlignment="1">
      <alignment horizontal="center" vertical="center" wrapText="1"/>
    </xf>
    <xf numFmtId="0" fontId="65" fillId="14" borderId="142" xfId="0" applyFont="1" applyFill="1" applyBorder="1" applyAlignment="1">
      <alignment horizontal="center" vertical="center" wrapText="1"/>
    </xf>
    <xf numFmtId="0" fontId="83" fillId="14" borderId="93" xfId="0" applyFont="1" applyFill="1" applyBorder="1" applyAlignment="1">
      <alignment horizontal="center" vertical="center" wrapText="1"/>
    </xf>
    <xf numFmtId="0" fontId="83" fillId="14" borderId="39" xfId="0" applyFont="1" applyFill="1" applyBorder="1" applyAlignment="1">
      <alignment horizontal="center" vertical="center" wrapText="1"/>
    </xf>
    <xf numFmtId="0" fontId="83" fillId="14" borderId="41" xfId="0" applyFont="1" applyFill="1" applyBorder="1" applyAlignment="1">
      <alignment horizontal="center" vertical="center" wrapText="1"/>
    </xf>
    <xf numFmtId="0" fontId="83" fillId="14" borderId="40" xfId="0" applyFont="1" applyFill="1" applyBorder="1" applyAlignment="1">
      <alignment horizontal="center" vertical="center" wrapText="1"/>
    </xf>
    <xf numFmtId="0" fontId="83" fillId="14" borderId="95" xfId="0" applyFont="1" applyFill="1" applyBorder="1" applyAlignment="1">
      <alignment horizontal="center" vertical="center" wrapText="1"/>
    </xf>
    <xf numFmtId="0" fontId="83" fillId="14" borderId="42" xfId="0" applyFont="1" applyFill="1" applyBorder="1" applyAlignment="1">
      <alignment horizontal="center" vertical="center" wrapText="1"/>
    </xf>
    <xf numFmtId="0" fontId="49" fillId="20" borderId="45" xfId="0" applyFont="1" applyFill="1" applyBorder="1" applyAlignment="1">
      <alignment horizontal="left"/>
    </xf>
    <xf numFmtId="0" fontId="53" fillId="20" borderId="45" xfId="0" applyFont="1" applyFill="1" applyBorder="1" applyAlignment="1">
      <alignment horizontal="left"/>
    </xf>
    <xf numFmtId="0" fontId="50" fillId="20" borderId="45" xfId="0" applyFont="1" applyFill="1" applyBorder="1" applyAlignment="1">
      <alignment vertical="center"/>
    </xf>
    <xf numFmtId="0" fontId="74" fillId="20" borderId="45" xfId="0" applyFont="1" applyFill="1" applyBorder="1" applyAlignment="1">
      <alignment vertical="center"/>
    </xf>
    <xf numFmtId="0" fontId="74" fillId="20" borderId="45" xfId="0" applyFont="1" applyFill="1" applyBorder="1" applyAlignment="1">
      <alignment horizontal="left" vertical="center"/>
    </xf>
    <xf numFmtId="0" fontId="58" fillId="20" borderId="45" xfId="0" applyFont="1" applyFill="1" applyBorder="1" applyAlignment="1">
      <alignment vertical="center"/>
    </xf>
    <xf numFmtId="0" fontId="47" fillId="14" borderId="46" xfId="0" applyFont="1" applyFill="1" applyBorder="1" applyAlignment="1">
      <alignment horizontal="center" wrapText="1"/>
    </xf>
    <xf numFmtId="0" fontId="48" fillId="14" borderId="163" xfId="0" applyFont="1" applyFill="1" applyBorder="1" applyAlignment="1">
      <alignment horizontal="center" wrapText="1"/>
    </xf>
    <xf numFmtId="0" fontId="48" fillId="14" borderId="47" xfId="0" applyFont="1" applyFill="1" applyBorder="1" applyAlignment="1">
      <alignment horizontal="center" wrapText="1"/>
    </xf>
    <xf numFmtId="0" fontId="46" fillId="20" borderId="45" xfId="0" applyFont="1" applyFill="1" applyBorder="1" applyAlignment="1">
      <alignment vertical="center"/>
    </xf>
    <xf numFmtId="0" fontId="49" fillId="20" borderId="96" xfId="0" applyFont="1" applyFill="1" applyBorder="1" applyAlignment="1">
      <alignment horizontal="left"/>
    </xf>
    <xf numFmtId="0" fontId="49" fillId="20" borderId="97" xfId="0" applyFont="1" applyFill="1" applyBorder="1" applyAlignment="1">
      <alignment horizontal="left"/>
    </xf>
    <xf numFmtId="0" fontId="49" fillId="20" borderId="98" xfId="0" applyFont="1" applyFill="1" applyBorder="1" applyAlignment="1">
      <alignment horizontal="left"/>
    </xf>
    <xf numFmtId="0" fontId="49" fillId="6" borderId="138" xfId="0" applyFont="1" applyFill="1" applyBorder="1" applyAlignment="1">
      <alignment horizontal="center" vertical="center"/>
    </xf>
    <xf numFmtId="0" fontId="49" fillId="6" borderId="0" xfId="0" applyFont="1" applyFill="1" applyAlignment="1">
      <alignment horizontal="center" vertical="center"/>
    </xf>
    <xf numFmtId="0" fontId="49" fillId="6" borderId="139" xfId="0" applyFont="1" applyFill="1" applyBorder="1" applyAlignment="1">
      <alignment horizontal="center" vertical="center"/>
    </xf>
    <xf numFmtId="0" fontId="56" fillId="0" borderId="46" xfId="0" applyFont="1" applyBorder="1" applyAlignment="1">
      <alignment horizontal="left" wrapText="1"/>
    </xf>
    <xf numFmtId="0" fontId="56" fillId="0" borderId="163" xfId="0" applyFont="1" applyBorder="1" applyAlignment="1">
      <alignment horizontal="left" wrapText="1"/>
    </xf>
    <xf numFmtId="0" fontId="56" fillId="0" borderId="47" xfId="0" applyFont="1" applyBorder="1" applyAlignment="1">
      <alignment horizontal="left" wrapText="1"/>
    </xf>
    <xf numFmtId="0" fontId="3" fillId="17" borderId="34" xfId="0" applyFont="1" applyFill="1" applyBorder="1" applyAlignment="1">
      <alignment horizontal="center"/>
    </xf>
    <xf numFmtId="0" fontId="3" fillId="17" borderId="35" xfId="0" applyFont="1" applyFill="1" applyBorder="1" applyAlignment="1">
      <alignment horizontal="center"/>
    </xf>
    <xf numFmtId="0" fontId="3" fillId="17" borderId="34" xfId="0" applyFont="1" applyFill="1" applyBorder="1" applyAlignment="1">
      <alignment horizontal="center" vertical="top"/>
    </xf>
    <xf numFmtId="0" fontId="3" fillId="17" borderId="35" xfId="0" applyFont="1" applyFill="1" applyBorder="1" applyAlignment="1">
      <alignment horizontal="center" vertical="top"/>
    </xf>
    <xf numFmtId="0" fontId="78" fillId="0" borderId="34" xfId="0" applyFont="1" applyBorder="1" applyAlignment="1">
      <alignment horizontal="left"/>
    </xf>
    <xf numFmtId="0" fontId="78" fillId="0" borderId="66" xfId="0" applyFont="1" applyBorder="1" applyAlignment="1">
      <alignment horizontal="left"/>
    </xf>
    <xf numFmtId="0" fontId="78" fillId="0" borderId="35" xfId="0" applyFont="1" applyBorder="1" applyAlignment="1">
      <alignment horizontal="left"/>
    </xf>
    <xf numFmtId="0" fontId="0" fillId="0" borderId="170" xfId="0" applyBorder="1" applyAlignment="1">
      <alignment horizontal="left" vertical="center" wrapText="1"/>
    </xf>
    <xf numFmtId="0" fontId="0" fillId="0" borderId="71" xfId="0" applyBorder="1" applyAlignment="1">
      <alignment horizontal="left" vertical="center" wrapText="1"/>
    </xf>
    <xf numFmtId="0" fontId="0" fillId="0" borderId="67" xfId="0" applyBorder="1" applyAlignment="1">
      <alignment horizontal="left" vertical="center" wrapText="1"/>
    </xf>
    <xf numFmtId="0" fontId="0" fillId="0" borderId="171" xfId="0" applyBorder="1" applyAlignment="1">
      <alignment horizontal="left" vertical="center" wrapText="1"/>
    </xf>
    <xf numFmtId="0" fontId="0" fillId="0" borderId="0" xfId="0" applyAlignment="1">
      <alignment horizontal="left" vertical="center" wrapText="1"/>
    </xf>
    <xf numFmtId="0" fontId="0" fillId="0" borderId="36" xfId="0" applyBorder="1" applyAlignment="1">
      <alignment horizontal="left" vertical="center" wrapText="1"/>
    </xf>
    <xf numFmtId="0" fontId="0" fillId="0" borderId="172" xfId="0" applyBorder="1" applyAlignment="1">
      <alignment horizontal="left" vertical="center" wrapText="1"/>
    </xf>
    <xf numFmtId="0" fontId="0" fillId="0" borderId="173" xfId="0" applyBorder="1" applyAlignment="1">
      <alignment horizontal="left" vertical="center" wrapText="1"/>
    </xf>
    <xf numFmtId="0" fontId="0" fillId="0" borderId="174" xfId="0" applyBorder="1" applyAlignment="1">
      <alignment horizontal="left" vertical="center" wrapText="1"/>
    </xf>
    <xf numFmtId="0" fontId="3" fillId="4" borderId="51" xfId="0" applyFont="1" applyFill="1" applyBorder="1" applyAlignment="1">
      <alignment horizontal="center"/>
    </xf>
    <xf numFmtId="0" fontId="3" fillId="4" borderId="52" xfId="0" applyFont="1" applyFill="1" applyBorder="1" applyAlignment="1">
      <alignment horizontal="center"/>
    </xf>
    <xf numFmtId="0" fontId="88" fillId="17" borderId="34" xfId="0" applyFont="1" applyFill="1" applyBorder="1" applyAlignment="1">
      <alignment horizontal="center"/>
    </xf>
    <xf numFmtId="0" fontId="88" fillId="17" borderId="66" xfId="0" applyFont="1" applyFill="1" applyBorder="1" applyAlignment="1">
      <alignment horizontal="center"/>
    </xf>
    <xf numFmtId="0" fontId="88" fillId="17" borderId="35" xfId="0" applyFont="1" applyFill="1" applyBorder="1" applyAlignment="1">
      <alignment horizontal="center"/>
    </xf>
    <xf numFmtId="2" fontId="0" fillId="0" borderId="78" xfId="0" applyNumberFormat="1" applyBorder="1" applyAlignment="1">
      <alignment horizontal="left" vertical="top" wrapText="1"/>
    </xf>
    <xf numFmtId="2" fontId="0" fillId="0" borderId="79" xfId="0" applyNumberFormat="1" applyBorder="1" applyAlignment="1">
      <alignment horizontal="left" vertical="top" wrapText="1"/>
    </xf>
    <xf numFmtId="2" fontId="0" fillId="0" borderId="80" xfId="0" applyNumberFormat="1" applyBorder="1" applyAlignment="1">
      <alignment horizontal="left" vertical="top" wrapText="1"/>
    </xf>
    <xf numFmtId="2" fontId="0" fillId="0" borderId="81" xfId="0" applyNumberFormat="1" applyBorder="1" applyAlignment="1">
      <alignment horizontal="left" vertical="top" wrapText="1"/>
    </xf>
    <xf numFmtId="2" fontId="0" fillId="0" borderId="0" xfId="0" applyNumberFormat="1" applyAlignment="1">
      <alignment horizontal="left" vertical="top" wrapText="1"/>
    </xf>
    <xf numFmtId="2" fontId="0" fillId="0" borderId="82" xfId="0" applyNumberFormat="1" applyBorder="1" applyAlignment="1">
      <alignment horizontal="left" vertical="top" wrapText="1"/>
    </xf>
    <xf numFmtId="2" fontId="0" fillId="0" borderId="83" xfId="0" applyNumberFormat="1" applyBorder="1" applyAlignment="1">
      <alignment horizontal="left" vertical="top" wrapText="1"/>
    </xf>
    <xf numFmtId="2" fontId="0" fillId="0" borderId="84" xfId="0" applyNumberFormat="1" applyBorder="1" applyAlignment="1">
      <alignment horizontal="left" vertical="top" wrapText="1"/>
    </xf>
    <xf numFmtId="2" fontId="0" fillId="0" borderId="85" xfId="0" applyNumberFormat="1" applyBorder="1" applyAlignment="1">
      <alignment horizontal="left" vertical="top" wrapText="1"/>
    </xf>
    <xf numFmtId="0" fontId="3" fillId="4" borderId="68" xfId="0" applyFont="1" applyFill="1" applyBorder="1" applyAlignment="1">
      <alignment horizontal="center"/>
    </xf>
    <xf numFmtId="0" fontId="3" fillId="4" borderId="64" xfId="0" applyFont="1" applyFill="1" applyBorder="1" applyAlignment="1">
      <alignment horizontal="center"/>
    </xf>
    <xf numFmtId="0" fontId="3" fillId="4" borderId="65" xfId="0" applyFont="1" applyFill="1" applyBorder="1" applyAlignment="1">
      <alignment horizontal="center"/>
    </xf>
    <xf numFmtId="2" fontId="0" fillId="17" borderId="34" xfId="0" applyNumberFormat="1" applyFill="1" applyBorder="1" applyAlignment="1" applyProtection="1">
      <alignment horizontal="center" wrapText="1"/>
      <protection locked="0"/>
    </xf>
    <xf numFmtId="2" fontId="0" fillId="17" borderId="66" xfId="0" applyNumberFormat="1" applyFill="1" applyBorder="1" applyAlignment="1" applyProtection="1">
      <alignment horizontal="center" wrapText="1"/>
      <protection locked="0"/>
    </xf>
    <xf numFmtId="2" fontId="0" fillId="17" borderId="35" xfId="0" applyNumberFormat="1" applyFill="1" applyBorder="1" applyAlignment="1" applyProtection="1">
      <alignment horizontal="center" wrapText="1"/>
      <protection locked="0"/>
    </xf>
    <xf numFmtId="2" fontId="0" fillId="5" borderId="57" xfId="0" applyNumberFormat="1" applyFill="1" applyBorder="1" applyAlignment="1" applyProtection="1">
      <alignment horizontal="center" wrapText="1"/>
      <protection locked="0"/>
    </xf>
    <xf numFmtId="2" fontId="0" fillId="5" borderId="58" xfId="0" applyNumberFormat="1" applyFill="1" applyBorder="1" applyAlignment="1" applyProtection="1">
      <alignment horizontal="center" wrapText="1"/>
      <protection locked="0"/>
    </xf>
    <xf numFmtId="2" fontId="0" fillId="0" borderId="70" xfId="0" applyNumberFormat="1" applyBorder="1" applyAlignment="1">
      <alignment horizontal="left"/>
    </xf>
    <xf numFmtId="0" fontId="3" fillId="4" borderId="13"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0" fillId="10" borderId="13" xfId="0" applyFill="1" applyBorder="1" applyAlignment="1">
      <alignment horizontal="center" wrapText="1"/>
    </xf>
    <xf numFmtId="0" fontId="0" fillId="10" borderId="14" xfId="0" applyFill="1" applyBorder="1" applyAlignment="1">
      <alignment horizontal="center" wrapText="1"/>
    </xf>
    <xf numFmtId="0" fontId="0" fillId="10" borderId="15" xfId="0" applyFill="1" applyBorder="1" applyAlignment="1">
      <alignment horizontal="center" wrapText="1"/>
    </xf>
    <xf numFmtId="0" fontId="37" fillId="0" borderId="70" xfId="0" applyFont="1" applyBorder="1" applyAlignment="1">
      <alignment horizontal="left" vertical="center" wrapText="1"/>
    </xf>
    <xf numFmtId="0" fontId="5" fillId="0" borderId="70" xfId="0" applyFont="1" applyBorder="1" applyAlignment="1">
      <alignment horizontal="center"/>
    </xf>
    <xf numFmtId="0" fontId="3" fillId="4" borderId="77" xfId="0" applyFont="1" applyFill="1" applyBorder="1" applyAlignment="1">
      <alignment horizontal="center"/>
    </xf>
    <xf numFmtId="2" fontId="0" fillId="9" borderId="175" xfId="0" applyNumberFormat="1" applyFill="1" applyBorder="1" applyAlignment="1">
      <alignment horizontal="center"/>
    </xf>
    <xf numFmtId="2" fontId="0" fillId="14" borderId="53" xfId="0" applyNumberFormat="1" applyFill="1" applyBorder="1" applyAlignment="1" applyProtection="1">
      <alignment horizontal="center" wrapText="1"/>
      <protection locked="0"/>
    </xf>
    <xf numFmtId="2" fontId="0" fillId="14" borderId="54" xfId="0" applyNumberFormat="1" applyFill="1" applyBorder="1" applyAlignment="1" applyProtection="1">
      <alignment horizontal="center" wrapText="1"/>
      <protection locked="0"/>
    </xf>
    <xf numFmtId="2" fontId="0" fillId="14" borderId="55" xfId="0" applyNumberFormat="1" applyFill="1" applyBorder="1" applyAlignment="1" applyProtection="1">
      <alignment horizontal="center" wrapText="1"/>
      <protection locked="0"/>
    </xf>
    <xf numFmtId="2" fontId="0" fillId="18" borderId="23" xfId="0" applyNumberFormat="1" applyFill="1" applyBorder="1" applyAlignment="1" applyProtection="1">
      <alignment horizontal="center" wrapText="1"/>
      <protection locked="0"/>
    </xf>
    <xf numFmtId="2" fontId="0" fillId="18" borderId="63" xfId="0" applyNumberFormat="1" applyFill="1" applyBorder="1" applyAlignment="1" applyProtection="1">
      <alignment horizontal="center" wrapText="1"/>
      <protection locked="0"/>
    </xf>
    <xf numFmtId="2" fontId="0" fillId="18" borderId="24" xfId="0" applyNumberFormat="1" applyFill="1" applyBorder="1" applyAlignment="1" applyProtection="1">
      <alignment horizontal="center" wrapText="1"/>
      <protection locked="0"/>
    </xf>
    <xf numFmtId="0" fontId="3" fillId="4" borderId="43" xfId="0" applyFont="1" applyFill="1" applyBorder="1" applyAlignment="1">
      <alignment horizontal="center"/>
    </xf>
    <xf numFmtId="2" fontId="0" fillId="2" borderId="43" xfId="0" applyNumberFormat="1" applyFill="1" applyBorder="1" applyAlignment="1" applyProtection="1">
      <alignment horizontal="center" wrapText="1"/>
      <protection locked="0"/>
    </xf>
    <xf numFmtId="0" fontId="3" fillId="4" borderId="60" xfId="0" applyFont="1" applyFill="1" applyBorder="1" applyAlignment="1">
      <alignment horizontal="center"/>
    </xf>
    <xf numFmtId="0" fontId="3" fillId="4" borderId="61" xfId="0" applyFont="1" applyFill="1" applyBorder="1" applyAlignment="1">
      <alignment horizontal="center"/>
    </xf>
    <xf numFmtId="0" fontId="3" fillId="4" borderId="62" xfId="0" applyFont="1" applyFill="1" applyBorder="1" applyAlignment="1">
      <alignment horizontal="center"/>
    </xf>
    <xf numFmtId="0" fontId="0" fillId="0" borderId="70" xfId="0" applyBorder="1" applyAlignment="1">
      <alignment horizontal="left"/>
    </xf>
    <xf numFmtId="0" fontId="0" fillId="10" borderId="13" xfId="0" applyFill="1" applyBorder="1" applyAlignment="1">
      <alignment horizontal="center"/>
    </xf>
    <xf numFmtId="0" fontId="0" fillId="10" borderId="14" xfId="0" applyFill="1" applyBorder="1" applyAlignment="1">
      <alignment horizontal="center"/>
    </xf>
    <xf numFmtId="0" fontId="0" fillId="10" borderId="15" xfId="0" applyFill="1" applyBorder="1" applyAlignment="1">
      <alignment horizontal="center"/>
    </xf>
    <xf numFmtId="0" fontId="0" fillId="0" borderId="70" xfId="0" applyBorder="1" applyAlignment="1">
      <alignment horizontal="left" vertical="center" wrapText="1"/>
    </xf>
    <xf numFmtId="0" fontId="0" fillId="6" borderId="70" xfId="0" applyFill="1" applyBorder="1" applyAlignment="1">
      <alignment horizontal="left"/>
    </xf>
    <xf numFmtId="0" fontId="37" fillId="0" borderId="70" xfId="0" applyFont="1" applyBorder="1" applyAlignment="1">
      <alignment horizontal="left"/>
    </xf>
    <xf numFmtId="2" fontId="0" fillId="0" borderId="70" xfId="0" applyNumberFormat="1" applyBorder="1" applyAlignment="1">
      <alignment horizontal="left" vertical="top" wrapText="1"/>
    </xf>
    <xf numFmtId="2" fontId="0" fillId="0" borderId="70" xfId="0" applyNumberFormat="1" applyBorder="1" applyAlignment="1">
      <alignment horizontal="left" vertical="top"/>
    </xf>
    <xf numFmtId="0" fontId="37" fillId="26" borderId="73" xfId="0" applyFont="1" applyFill="1" applyBorder="1" applyAlignment="1">
      <alignment horizontal="center" wrapText="1"/>
    </xf>
    <xf numFmtId="0" fontId="37" fillId="26" borderId="74" xfId="0" applyFont="1" applyFill="1" applyBorder="1" applyAlignment="1">
      <alignment horizontal="center" wrapText="1"/>
    </xf>
    <xf numFmtId="0" fontId="37" fillId="0" borderId="176" xfId="0" applyFont="1" applyBorder="1" applyAlignment="1">
      <alignment horizontal="center"/>
    </xf>
    <xf numFmtId="0" fontId="30" fillId="17" borderId="34" xfId="0" applyFont="1" applyFill="1" applyBorder="1" applyAlignment="1">
      <alignment horizontal="center"/>
    </xf>
    <xf numFmtId="0" fontId="30" fillId="17" borderId="66" xfId="0" applyFont="1" applyFill="1" applyBorder="1" applyAlignment="1">
      <alignment horizontal="center"/>
    </xf>
    <xf numFmtId="0" fontId="30" fillId="17" borderId="35" xfId="0" applyFont="1" applyFill="1" applyBorder="1" applyAlignment="1">
      <alignment horizontal="center"/>
    </xf>
    <xf numFmtId="0" fontId="3" fillId="17" borderId="99" xfId="0" applyFont="1" applyFill="1" applyBorder="1" applyAlignment="1">
      <alignment horizontal="center" vertical="center"/>
    </xf>
    <xf numFmtId="0" fontId="3" fillId="17" borderId="100" xfId="0" applyFont="1" applyFill="1" applyBorder="1" applyAlignment="1">
      <alignment horizontal="center" vertical="center"/>
    </xf>
    <xf numFmtId="0" fontId="3" fillId="17" borderId="107" xfId="0" applyFont="1" applyFill="1" applyBorder="1" applyAlignment="1">
      <alignment horizontal="center" vertical="center"/>
    </xf>
    <xf numFmtId="0" fontId="3" fillId="17" borderId="108" xfId="0" applyFont="1" applyFill="1" applyBorder="1" applyAlignment="1">
      <alignment horizontal="center" vertical="center"/>
    </xf>
    <xf numFmtId="0" fontId="3" fillId="17" borderId="17" xfId="0" applyFont="1" applyFill="1" applyBorder="1" applyAlignment="1">
      <alignment horizontal="center"/>
    </xf>
    <xf numFmtId="0" fontId="14" fillId="17" borderId="25" xfId="1" applyFill="1" applyBorder="1" applyAlignment="1">
      <alignment horizontal="center"/>
    </xf>
    <xf numFmtId="0" fontId="14" fillId="17" borderId="26" xfId="1" applyFill="1" applyBorder="1" applyAlignment="1">
      <alignment horizontal="center"/>
    </xf>
    <xf numFmtId="0" fontId="14" fillId="17" borderId="27" xfId="1" applyFill="1" applyBorder="1" applyAlignment="1">
      <alignment horizontal="center"/>
    </xf>
    <xf numFmtId="0" fontId="37" fillId="23" borderId="17" xfId="0" applyFont="1" applyFill="1" applyBorder="1" applyAlignment="1">
      <alignment horizontal="center" wrapText="1"/>
    </xf>
    <xf numFmtId="0" fontId="37" fillId="26" borderId="17" xfId="0" applyFont="1" applyFill="1" applyBorder="1" applyAlignment="1">
      <alignment horizontal="center" vertical="center"/>
    </xf>
    <xf numFmtId="0" fontId="38" fillId="26" borderId="34" xfId="0" applyFont="1" applyFill="1" applyBorder="1" applyAlignment="1">
      <alignment horizontal="center"/>
    </xf>
    <xf numFmtId="0" fontId="38" fillId="26" borderId="66" xfId="0" applyFont="1" applyFill="1" applyBorder="1" applyAlignment="1">
      <alignment horizontal="center"/>
    </xf>
    <xf numFmtId="0" fontId="38" fillId="26" borderId="35" xfId="0" applyFont="1" applyFill="1" applyBorder="1" applyAlignment="1">
      <alignment horizontal="center"/>
    </xf>
    <xf numFmtId="0" fontId="37" fillId="0" borderId="177" xfId="0" applyFont="1" applyBorder="1" applyAlignment="1">
      <alignment horizontal="center"/>
    </xf>
    <xf numFmtId="0" fontId="0" fillId="0" borderId="0" xfId="0" applyAlignment="1">
      <alignment horizontal="left" vertical="top" wrapText="1"/>
    </xf>
    <xf numFmtId="0" fontId="13" fillId="0" borderId="0" xfId="0" applyFont="1" applyAlignment="1">
      <alignment horizontal="center" vertical="top" wrapText="1"/>
    </xf>
    <xf numFmtId="0" fontId="0" fillId="0" borderId="0" xfId="0" applyAlignment="1">
      <alignment vertical="top" wrapText="1"/>
    </xf>
    <xf numFmtId="0" fontId="37" fillId="0" borderId="0" xfId="0" applyFont="1" applyAlignment="1"/>
    <xf numFmtId="2" fontId="0" fillId="3" borderId="52" xfId="0" applyNumberFormat="1" applyFill="1" applyBorder="1" applyAlignment="1"/>
    <xf numFmtId="2" fontId="6" fillId="6" borderId="44" xfId="0" applyNumberFormat="1" applyFont="1" applyFill="1" applyBorder="1" applyAlignment="1"/>
    <xf numFmtId="0" fontId="48" fillId="20" borderId="45" xfId="0" applyFont="1" applyFill="1" applyBorder="1" applyAlignment="1"/>
    <xf numFmtId="0" fontId="37" fillId="22" borderId="170" xfId="0" applyFont="1" applyFill="1" applyBorder="1" applyAlignment="1"/>
    <xf numFmtId="0" fontId="37" fillId="22" borderId="71" xfId="0" applyFont="1" applyFill="1" applyBorder="1" applyAlignment="1"/>
    <xf numFmtId="0" fontId="37" fillId="22" borderId="67" xfId="0" applyFont="1" applyFill="1" applyBorder="1" applyAlignment="1"/>
    <xf numFmtId="0" fontId="37" fillId="22" borderId="171" xfId="0" applyFont="1" applyFill="1" applyBorder="1" applyAlignment="1"/>
    <xf numFmtId="0" fontId="37" fillId="22" borderId="0" xfId="0" applyFont="1" applyFill="1" applyAlignment="1"/>
    <xf numFmtId="0" fontId="37" fillId="22" borderId="36" xfId="0" applyFont="1" applyFill="1" applyBorder="1" applyAlignment="1"/>
  </cellXfs>
  <cellStyles count="3">
    <cellStyle name="Comma" xfId="2" builtinId="3"/>
    <cellStyle name="Hyperlink" xfId="1" builtinId="8"/>
    <cellStyle name="Normal" xfId="0" builtinId="0"/>
  </cellStyles>
  <dxfs count="3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2" formatCode="0.00"/>
      <border diagonalUp="0" diagonalDown="0">
        <left style="medium">
          <color theme="8" tint="-0.249977111117893"/>
        </left>
        <right/>
        <top style="medium">
          <color theme="8" tint="-0.249977111117893"/>
        </top>
        <bottom style="medium">
          <color theme="8" tint="-0.249977111117893"/>
        </bottom>
        <vertical style="medium">
          <color theme="8" tint="-0.249977111117893"/>
        </vertical>
        <horizontal style="medium">
          <color theme="8" tint="-0.249977111117893"/>
        </horizontal>
      </border>
    </dxf>
    <dxf>
      <numFmt numFmtId="2" formatCode="0.00"/>
      <border diagonalUp="0" diagonalDown="0">
        <left style="medium">
          <color theme="8" tint="-0.249977111117893"/>
        </left>
        <right style="medium">
          <color theme="8" tint="-0.249977111117893"/>
        </right>
        <top style="medium">
          <color theme="8" tint="-0.249977111117893"/>
        </top>
        <bottom style="medium">
          <color theme="8" tint="-0.249977111117893"/>
        </bottom>
        <vertical style="medium">
          <color theme="8" tint="-0.249977111117893"/>
        </vertical>
        <horizontal style="medium">
          <color theme="8" tint="-0.249977111117893"/>
        </horizontal>
      </border>
    </dxf>
    <dxf>
      <border diagonalUp="0" diagonalDown="0">
        <left/>
        <right style="medium">
          <color theme="8" tint="-0.249977111117893"/>
        </right>
        <top style="medium">
          <color theme="8" tint="-0.249977111117893"/>
        </top>
        <bottom style="medium">
          <color theme="8" tint="-0.249977111117893"/>
        </bottom>
        <vertical style="medium">
          <color theme="8" tint="-0.249977111117893"/>
        </vertical>
        <horizontal style="medium">
          <color theme="8" tint="-0.249977111117893"/>
        </horizontal>
      </border>
    </dxf>
    <dxf>
      <border>
        <top style="medium">
          <color theme="8" tint="-0.249977111117893"/>
        </top>
      </border>
    </dxf>
    <dxf>
      <border>
        <bottom style="medium">
          <color theme="8" tint="-0.249977111117893"/>
        </bottom>
      </border>
    </dxf>
    <dxf>
      <border diagonalUp="0" diagonalDown="0">
        <left style="medium">
          <color theme="8" tint="-0.249977111117893"/>
        </left>
        <right style="medium">
          <color theme="8" tint="-0.249977111117893"/>
        </right>
        <top style="medium">
          <color theme="8" tint="-0.249977111117893"/>
        </top>
        <bottom style="medium">
          <color theme="8" tint="-0.249977111117893"/>
        </bottom>
      </border>
    </dxf>
    <dxf>
      <font>
        <strike val="0"/>
        <outline val="0"/>
        <shadow val="0"/>
        <u val="none"/>
        <vertAlign val="baseline"/>
        <sz val="9"/>
        <color auto="1"/>
        <name val="Calibri"/>
        <family val="2"/>
        <scheme val="minor"/>
      </font>
      <fill>
        <patternFill patternType="solid">
          <fgColor indexed="64"/>
          <bgColor theme="4" tint="0.79998168889431442"/>
        </patternFill>
      </fill>
      <border diagonalUp="0" diagonalDown="0" outline="0">
        <left style="medium">
          <color theme="8" tint="-0.249977111117893"/>
        </left>
        <right style="medium">
          <color theme="8" tint="-0.249977111117893"/>
        </right>
        <top/>
        <bottom/>
      </border>
    </dxf>
    <dxf>
      <fill>
        <patternFill>
          <bgColor rgb="FFFF0000"/>
        </patternFill>
      </fill>
    </dxf>
    <dxf>
      <fill>
        <patternFill>
          <bgColor theme="9" tint="0.39994506668294322"/>
        </patternFill>
      </fill>
    </dxf>
    <dxf>
      <fill>
        <patternFill>
          <bgColor rgb="FFFFFF00"/>
        </patternFill>
      </fill>
    </dxf>
    <dxf>
      <fill>
        <patternFill>
          <bgColor rgb="FFFF0000"/>
        </patternFill>
      </fill>
    </dxf>
    <dxf>
      <fill>
        <patternFill>
          <bgColor theme="9" tint="0.39994506668294322"/>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ECD9FF"/>
      <color rgb="FFCC99FF"/>
      <color rgb="FFED4949"/>
      <color rgb="FFFF9999"/>
      <color rgb="FFFFCCFF"/>
      <color rgb="FFFF0000"/>
      <color rgb="FFFFFFCC"/>
      <color rgb="FFE68A97"/>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Acetaminophen Toxicity</a:t>
            </a:r>
            <a:r>
              <a:rPr lang="en-US" b="1" baseline="0"/>
              <a:t> </a:t>
            </a:r>
            <a:r>
              <a:rPr lang="en-US" b="1"/>
              <a:t>Nomogram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3296130754459389E-2"/>
          <c:y val="0.11846174822214091"/>
          <c:w val="0.88338737069631001"/>
          <c:h val="0.74165613859834689"/>
        </c:manualLayout>
      </c:layout>
      <c:scatterChart>
        <c:scatterStyle val="lineMarker"/>
        <c:varyColors val="0"/>
        <c:ser>
          <c:idx val="0"/>
          <c:order val="0"/>
          <c:tx>
            <c:v>APAP Standard Line</c:v>
          </c:tx>
          <c:spPr>
            <a:ln w="19050" cap="rnd">
              <a:solidFill>
                <a:schemeClr val="accent1"/>
              </a:solidFill>
              <a:round/>
            </a:ln>
            <a:effectLst/>
          </c:spPr>
          <c:marker>
            <c:symbol val="circle"/>
            <c:size val="5"/>
            <c:spPr>
              <a:solidFill>
                <a:srgbClr val="5B9BD5">
                  <a:lumMod val="40000"/>
                  <a:lumOff val="60000"/>
                </a:srgbClr>
              </a:solidFill>
              <a:ln w="9525">
                <a:solidFill>
                  <a:sysClr val="windowText" lastClr="000000"/>
                </a:solidFill>
              </a:ln>
              <a:effectLst/>
            </c:spPr>
          </c:marker>
          <c:xVal>
            <c:numRef>
              <c:f>'NEW OPC APAP Nonogram'!$U$6:$U$24</c:f>
              <c:numCache>
                <c:formatCode>General</c:formatCode>
                <c:ptCount val="19"/>
                <c:pt idx="0">
                  <c:v>4</c:v>
                </c:pt>
                <c:pt idx="1">
                  <c:v>5</c:v>
                </c:pt>
                <c:pt idx="2">
                  <c:v>6</c:v>
                </c:pt>
                <c:pt idx="3">
                  <c:v>7</c:v>
                </c:pt>
                <c:pt idx="4">
                  <c:v>8</c:v>
                </c:pt>
                <c:pt idx="5">
                  <c:v>10</c:v>
                </c:pt>
                <c:pt idx="6">
                  <c:v>12</c:v>
                </c:pt>
                <c:pt idx="7">
                  <c:v>13</c:v>
                </c:pt>
                <c:pt idx="8">
                  <c:v>14</c:v>
                </c:pt>
                <c:pt idx="9">
                  <c:v>15</c:v>
                </c:pt>
                <c:pt idx="10">
                  <c:v>16</c:v>
                </c:pt>
                <c:pt idx="11">
                  <c:v>17</c:v>
                </c:pt>
                <c:pt idx="12">
                  <c:v>18</c:v>
                </c:pt>
                <c:pt idx="13">
                  <c:v>19</c:v>
                </c:pt>
                <c:pt idx="14">
                  <c:v>20</c:v>
                </c:pt>
                <c:pt idx="15">
                  <c:v>21</c:v>
                </c:pt>
                <c:pt idx="16">
                  <c:v>22</c:v>
                </c:pt>
                <c:pt idx="17">
                  <c:v>23</c:v>
                </c:pt>
                <c:pt idx="18">
                  <c:v>24</c:v>
                </c:pt>
              </c:numCache>
            </c:numRef>
          </c:xVal>
          <c:yVal>
            <c:numRef>
              <c:f>'NEW OPC APAP Nonogram'!$V$6:$V$24</c:f>
              <c:numCache>
                <c:formatCode>0.00</c:formatCode>
                <c:ptCount val="19"/>
                <c:pt idx="0">
                  <c:v>1000</c:v>
                </c:pt>
                <c:pt idx="1">
                  <c:v>840.89641525371474</c:v>
                </c:pt>
                <c:pt idx="2">
                  <c:v>707.10678118654801</c:v>
                </c:pt>
                <c:pt idx="3">
                  <c:v>594.60355750136057</c:v>
                </c:pt>
                <c:pt idx="4">
                  <c:v>500.00000000000028</c:v>
                </c:pt>
                <c:pt idx="5">
                  <c:v>353.55339059327395</c:v>
                </c:pt>
                <c:pt idx="6">
                  <c:v>250.00000000000011</c:v>
                </c:pt>
                <c:pt idx="7">
                  <c:v>210.22410381342863</c:v>
                </c:pt>
                <c:pt idx="8">
                  <c:v>176.77669529663694</c:v>
                </c:pt>
                <c:pt idx="9">
                  <c:v>148.65088937534014</c:v>
                </c:pt>
                <c:pt idx="10">
                  <c:v>125.00000000000004</c:v>
                </c:pt>
                <c:pt idx="11">
                  <c:v>105.11205190671431</c:v>
                </c:pt>
                <c:pt idx="12">
                  <c:v>88.388347648318472</c:v>
                </c:pt>
                <c:pt idx="13">
                  <c:v>74.325444687670057</c:v>
                </c:pt>
                <c:pt idx="14">
                  <c:v>62.499999999999964</c:v>
                </c:pt>
                <c:pt idx="15">
                  <c:v>52.55602595335715</c:v>
                </c:pt>
                <c:pt idx="16">
                  <c:v>44.194173824159215</c:v>
                </c:pt>
                <c:pt idx="17">
                  <c:v>37.162722343835028</c:v>
                </c:pt>
                <c:pt idx="18">
                  <c:v>31.249999999999993</c:v>
                </c:pt>
              </c:numCache>
            </c:numRef>
          </c:yVal>
          <c:smooth val="0"/>
          <c:extLst>
            <c:ext xmlns:c16="http://schemas.microsoft.com/office/drawing/2014/chart" uri="{C3380CC4-5D6E-409C-BE32-E72D297353CC}">
              <c16:uniqueId val="{00000000-C87F-47D7-BAEC-0575DEECA40C}"/>
            </c:ext>
          </c:extLst>
        </c:ser>
        <c:ser>
          <c:idx val="1"/>
          <c:order val="1"/>
          <c:tx>
            <c:v>APAP High Risk Line</c:v>
          </c:tx>
          <c:spPr>
            <a:ln w="19050" cap="rnd">
              <a:solidFill>
                <a:schemeClr val="accent2"/>
              </a:solidFill>
              <a:round/>
            </a:ln>
            <a:effectLst/>
          </c:spPr>
          <c:marker>
            <c:symbol val="circle"/>
            <c:size val="5"/>
            <c:spPr>
              <a:solidFill>
                <a:srgbClr val="92D050"/>
              </a:solidFill>
              <a:ln w="9525">
                <a:solidFill>
                  <a:sysClr val="windowText" lastClr="000000"/>
                </a:solidFill>
              </a:ln>
              <a:effectLst/>
            </c:spPr>
          </c:marker>
          <c:xVal>
            <c:numRef>
              <c:f>'NEW OPC APAP Nonogram'!$U$6:$U$24</c:f>
              <c:numCache>
                <c:formatCode>General</c:formatCode>
                <c:ptCount val="19"/>
                <c:pt idx="0">
                  <c:v>4</c:v>
                </c:pt>
                <c:pt idx="1">
                  <c:v>5</c:v>
                </c:pt>
                <c:pt idx="2">
                  <c:v>6</c:v>
                </c:pt>
                <c:pt idx="3">
                  <c:v>7</c:v>
                </c:pt>
                <c:pt idx="4">
                  <c:v>8</c:v>
                </c:pt>
                <c:pt idx="5">
                  <c:v>10</c:v>
                </c:pt>
                <c:pt idx="6">
                  <c:v>12</c:v>
                </c:pt>
                <c:pt idx="7">
                  <c:v>13</c:v>
                </c:pt>
                <c:pt idx="8">
                  <c:v>14</c:v>
                </c:pt>
                <c:pt idx="9">
                  <c:v>15</c:v>
                </c:pt>
                <c:pt idx="10">
                  <c:v>16</c:v>
                </c:pt>
                <c:pt idx="11">
                  <c:v>17</c:v>
                </c:pt>
                <c:pt idx="12">
                  <c:v>18</c:v>
                </c:pt>
                <c:pt idx="13">
                  <c:v>19</c:v>
                </c:pt>
                <c:pt idx="14">
                  <c:v>20</c:v>
                </c:pt>
                <c:pt idx="15">
                  <c:v>21</c:v>
                </c:pt>
                <c:pt idx="16">
                  <c:v>22</c:v>
                </c:pt>
                <c:pt idx="17">
                  <c:v>23</c:v>
                </c:pt>
                <c:pt idx="18">
                  <c:v>24</c:v>
                </c:pt>
              </c:numCache>
            </c:numRef>
          </c:xVal>
          <c:yVal>
            <c:numRef>
              <c:f>'NEW OPC APAP Nonogram'!$W$6:$W$24</c:f>
              <c:numCache>
                <c:formatCode>0.00</c:formatCode>
                <c:ptCount val="19"/>
                <c:pt idx="0">
                  <c:v>4000.0000000000068</c:v>
                </c:pt>
                <c:pt idx="1">
                  <c:v>3363.5856610148626</c:v>
                </c:pt>
                <c:pt idx="2">
                  <c:v>2828.4271247461925</c:v>
                </c:pt>
                <c:pt idx="3">
                  <c:v>2378.414230005445</c:v>
                </c:pt>
                <c:pt idx="4">
                  <c:v>2000.0000000000016</c:v>
                </c:pt>
                <c:pt idx="5">
                  <c:v>1414.213562373096</c:v>
                </c:pt>
                <c:pt idx="6">
                  <c:v>1000</c:v>
                </c:pt>
                <c:pt idx="7">
                  <c:v>840.89641525371474</c:v>
                </c:pt>
                <c:pt idx="8">
                  <c:v>707.10678118654801</c:v>
                </c:pt>
                <c:pt idx="9">
                  <c:v>594.60355750136057</c:v>
                </c:pt>
                <c:pt idx="10">
                  <c:v>500.00000000000028</c:v>
                </c:pt>
                <c:pt idx="11">
                  <c:v>420.44820762685731</c:v>
                </c:pt>
                <c:pt idx="12">
                  <c:v>353.55339059327395</c:v>
                </c:pt>
                <c:pt idx="13">
                  <c:v>297.30177875068028</c:v>
                </c:pt>
                <c:pt idx="14">
                  <c:v>250.00000000000011</c:v>
                </c:pt>
                <c:pt idx="15">
                  <c:v>210.22410381342863</c:v>
                </c:pt>
                <c:pt idx="16">
                  <c:v>176.77669529663694</c:v>
                </c:pt>
                <c:pt idx="17">
                  <c:v>148.65088937534014</c:v>
                </c:pt>
                <c:pt idx="18">
                  <c:v>125.00000000000004</c:v>
                </c:pt>
              </c:numCache>
            </c:numRef>
          </c:yVal>
          <c:smooth val="0"/>
          <c:extLst>
            <c:ext xmlns:c16="http://schemas.microsoft.com/office/drawing/2014/chart" uri="{C3380CC4-5D6E-409C-BE32-E72D297353CC}">
              <c16:uniqueId val="{00000001-C87F-47D7-BAEC-0575DEECA40C}"/>
            </c:ext>
          </c:extLst>
        </c:ser>
        <c:ser>
          <c:idx val="2"/>
          <c:order val="2"/>
          <c:tx>
            <c:v>Concentration</c:v>
          </c:tx>
          <c:spPr>
            <a:ln w="19050" cap="rnd">
              <a:solidFill>
                <a:schemeClr val="accent3"/>
              </a:solidFill>
              <a:round/>
            </a:ln>
            <a:effectLst/>
          </c:spPr>
          <c:marker>
            <c:symbol val="triangle"/>
            <c:size val="7"/>
            <c:spPr>
              <a:solidFill>
                <a:srgbClr val="FF0000"/>
              </a:solidFill>
              <a:ln w="9525">
                <a:solidFill>
                  <a:schemeClr val="accent3"/>
                </a:solidFill>
              </a:ln>
              <a:effectLst/>
            </c:spPr>
          </c:marker>
          <c:dPt>
            <c:idx val="0"/>
            <c:marker>
              <c:symbol val="triangle"/>
              <c:size val="7"/>
              <c:spPr>
                <a:solidFill>
                  <a:srgbClr val="FF0000"/>
                </a:solidFill>
                <a:ln w="9525">
                  <a:solidFill>
                    <a:schemeClr val="accent3"/>
                  </a:solidFill>
                </a:ln>
                <a:effectLst/>
              </c:spPr>
            </c:marker>
            <c:bubble3D val="0"/>
            <c:spPr>
              <a:ln w="22225" cap="rnd">
                <a:solidFill>
                  <a:sysClr val="windowText" lastClr="000000"/>
                </a:solidFill>
                <a:round/>
              </a:ln>
              <a:effectLst/>
            </c:spPr>
            <c:extLst>
              <c:ext xmlns:c16="http://schemas.microsoft.com/office/drawing/2014/chart" uri="{C3380CC4-5D6E-409C-BE32-E72D297353CC}">
                <c16:uniqueId val="{00000000-725D-474C-A2BD-E4344B2D91B8}"/>
              </c:ext>
            </c:extLst>
          </c:dPt>
          <c:xVal>
            <c:numRef>
              <c:f>'NEW OPC APAP Nonogram'!$E$12</c:f>
              <c:numCache>
                <c:formatCode>General</c:formatCode>
                <c:ptCount val="1"/>
              </c:numCache>
            </c:numRef>
          </c:xVal>
          <c:yVal>
            <c:numRef>
              <c:f>'NEW OPC APAP Nonogram'!$E$11</c:f>
              <c:numCache>
                <c:formatCode>General</c:formatCode>
                <c:ptCount val="1"/>
              </c:numCache>
            </c:numRef>
          </c:yVal>
          <c:smooth val="0"/>
          <c:extLst>
            <c:ext xmlns:c16="http://schemas.microsoft.com/office/drawing/2014/chart" uri="{C3380CC4-5D6E-409C-BE32-E72D297353CC}">
              <c16:uniqueId val="{00000002-C87F-47D7-BAEC-0575DEECA40C}"/>
            </c:ext>
          </c:extLst>
        </c:ser>
        <c:dLbls>
          <c:showLegendKey val="0"/>
          <c:showVal val="0"/>
          <c:showCatName val="0"/>
          <c:showSerName val="0"/>
          <c:showPercent val="0"/>
          <c:showBubbleSize val="0"/>
        </c:dLbls>
        <c:axId val="1089119312"/>
        <c:axId val="1089116912"/>
      </c:scatterChart>
      <c:valAx>
        <c:axId val="1089119312"/>
        <c:scaling>
          <c:orientation val="minMax"/>
          <c:max val="24"/>
          <c:min val="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116912"/>
        <c:crosses val="autoZero"/>
        <c:crossBetween val="midCat"/>
      </c:valAx>
      <c:valAx>
        <c:axId val="108911691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Acetaminophen Concentration (µmol/L) </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1193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hyperlink" Target="#' DigiFab Dosing'!A1"/><Relationship Id="rId18" Type="http://schemas.openxmlformats.org/officeDocument/2006/relationships/hyperlink" Target="#HIE!A1"/><Relationship Id="rId26" Type="http://schemas.openxmlformats.org/officeDocument/2006/relationships/hyperlink" Target="#Lidocaine!A1"/><Relationship Id="rId39" Type="http://schemas.openxmlformats.org/officeDocument/2006/relationships/hyperlink" Target="#'NEW OPC APAP Nonogram'!A1"/><Relationship Id="rId21" Type="http://schemas.openxmlformats.org/officeDocument/2006/relationships/hyperlink" Target="#'Ethylene Glycol &amp; Methanol'!A1"/><Relationship Id="rId34" Type="http://schemas.openxmlformats.org/officeDocument/2006/relationships/hyperlink" Target="#'Tea Tree Oil'!A1"/><Relationship Id="rId7" Type="http://schemas.openxmlformats.org/officeDocument/2006/relationships/hyperlink" Target="#'Salicylate Equivalents'!A1"/><Relationship Id="rId12" Type="http://schemas.openxmlformats.org/officeDocument/2006/relationships/hyperlink" Target="#DEET!A1"/><Relationship Id="rId17" Type="http://schemas.openxmlformats.org/officeDocument/2006/relationships/hyperlink" Target="#IRON!A1"/><Relationship Id="rId25" Type="http://schemas.openxmlformats.org/officeDocument/2006/relationships/hyperlink" Target="#ETOH!A1"/><Relationship Id="rId33" Type="http://schemas.openxmlformats.org/officeDocument/2006/relationships/hyperlink" Target="#Benzocaine!A1"/><Relationship Id="rId38" Type="http://schemas.openxmlformats.org/officeDocument/2006/relationships/hyperlink" Target="#'NAC Comparison Calculator'!A1"/><Relationship Id="rId2" Type="http://schemas.openxmlformats.org/officeDocument/2006/relationships/hyperlink" Target="#'% Calculations (ww or wv)'!A1"/><Relationship Id="rId16" Type="http://schemas.openxmlformats.org/officeDocument/2006/relationships/hyperlink" Target="#Fluoride!A1"/><Relationship Id="rId20" Type="http://schemas.openxmlformats.org/officeDocument/2006/relationships/hyperlink" Target="#IPA!A1"/><Relationship Id="rId29" Type="http://schemas.openxmlformats.org/officeDocument/2006/relationships/hyperlink" Target="#Borax!A1"/><Relationship Id="rId1" Type="http://schemas.openxmlformats.org/officeDocument/2006/relationships/hyperlink" Target="#'Unit Conversions'!A1"/><Relationship Id="rId6" Type="http://schemas.openxmlformats.org/officeDocument/2006/relationships/hyperlink" Target="#'ASA '!A1"/><Relationship Id="rId11" Type="http://schemas.openxmlformats.org/officeDocument/2006/relationships/hyperlink" Target="#'Camphor '!A1"/><Relationship Id="rId24" Type="http://schemas.openxmlformats.org/officeDocument/2006/relationships/hyperlink" Target="#'Sodium Chloride'!A1"/><Relationship Id="rId32" Type="http://schemas.openxmlformats.org/officeDocument/2006/relationships/hyperlink" Target="#Menthol!A1"/><Relationship Id="rId37" Type="http://schemas.openxmlformats.org/officeDocument/2006/relationships/hyperlink" Target="#'Retinol - Vitamin A Equiv'!A1"/><Relationship Id="rId40" Type="http://schemas.openxmlformats.org/officeDocument/2006/relationships/image" Target="../media/image1.png"/><Relationship Id="rId5" Type="http://schemas.openxmlformats.org/officeDocument/2006/relationships/hyperlink" Target="#'NEW NAC 2026 Dosing'!A1"/><Relationship Id="rId15" Type="http://schemas.openxmlformats.org/officeDocument/2006/relationships/hyperlink" Target="#'Uncategorized Calculations'!A1"/><Relationship Id="rId23" Type="http://schemas.openxmlformats.org/officeDocument/2006/relationships/hyperlink" Target="#'Blood Gas Analysis and Gaps'!A1"/><Relationship Id="rId28" Type="http://schemas.openxmlformats.org/officeDocument/2006/relationships/hyperlink" Target="#'Lipid Dosing'!A1"/><Relationship Id="rId36" Type="http://schemas.openxmlformats.org/officeDocument/2006/relationships/hyperlink" Target="#' Vitamin D '!A1"/><Relationship Id="rId10" Type="http://schemas.openxmlformats.org/officeDocument/2006/relationships/hyperlink" Target="#'Lab Conversions'!A1"/><Relationship Id="rId19" Type="http://schemas.openxmlformats.org/officeDocument/2006/relationships/hyperlink" Target="#Imidazoline!A1"/><Relationship Id="rId31" Type="http://schemas.openxmlformats.org/officeDocument/2006/relationships/hyperlink" Target="#'Do Not Use'!A1"/><Relationship Id="rId4" Type="http://schemas.openxmlformats.org/officeDocument/2006/relationships/hyperlink" Target="#APAP!A1"/><Relationship Id="rId9" Type="http://schemas.openxmlformats.org/officeDocument/2006/relationships/hyperlink" Target="#'Octyl Salicylate'!A1"/><Relationship Id="rId14" Type="http://schemas.openxmlformats.org/officeDocument/2006/relationships/hyperlink" Target="#Diphenhydramine!A1"/><Relationship Id="rId22" Type="http://schemas.openxmlformats.org/officeDocument/2006/relationships/hyperlink" Target="#'Fomepizole &amp; Cofactors'!A1"/><Relationship Id="rId27" Type="http://schemas.openxmlformats.org/officeDocument/2006/relationships/hyperlink" Target="#NSAIDs!A1"/><Relationship Id="rId30" Type="http://schemas.openxmlformats.org/officeDocument/2006/relationships/hyperlink" Target="#Version!A1"/><Relationship Id="rId35" Type="http://schemas.openxmlformats.org/officeDocument/2006/relationships/hyperlink" Target="#'Vitamin A'!A1"/><Relationship Id="rId8" Type="http://schemas.openxmlformats.org/officeDocument/2006/relationships/hyperlink" Target="#'Bismuth Subsalicylate'!A1"/><Relationship Id="rId3" Type="http://schemas.openxmlformats.org/officeDocument/2006/relationships/hyperlink" Target="#' % Calculations (vv)'!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Index!A1"/><Relationship Id="rId4" Type="http://schemas.openxmlformats.org/officeDocument/2006/relationships/image" Target="../media/image5.png"/></Relationships>
</file>

<file path=xl/drawings/_rels/drawing3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40.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13</xdr:col>
      <xdr:colOff>23843</xdr:colOff>
      <xdr:row>9</xdr:row>
      <xdr:rowOff>104404</xdr:rowOff>
    </xdr:from>
    <xdr:to>
      <xdr:col>16</xdr:col>
      <xdr:colOff>51275</xdr:colOff>
      <xdr:row>11</xdr:row>
      <xdr:rowOff>38782</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445723" y="1818904"/>
          <a:ext cx="1856232" cy="315378"/>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solidFill>
                <a:sysClr val="windowText" lastClr="000000"/>
              </a:solidFill>
            </a:rPr>
            <a:t>Unit/Date/Time Conversions</a:t>
          </a:r>
        </a:p>
      </xdr:txBody>
    </xdr:sp>
    <xdr:clientData/>
  </xdr:twoCellAnchor>
  <xdr:twoCellAnchor>
    <xdr:from>
      <xdr:col>5</xdr:col>
      <xdr:colOff>33635</xdr:colOff>
      <xdr:row>24</xdr:row>
      <xdr:rowOff>27796</xdr:rowOff>
    </xdr:from>
    <xdr:to>
      <xdr:col>8</xdr:col>
      <xdr:colOff>54612</xdr:colOff>
      <xdr:row>25</xdr:row>
      <xdr:rowOff>152674</xdr:rowOff>
    </xdr:to>
    <xdr:sp macro="" textlink="">
      <xdr:nvSpPr>
        <xdr:cNvPr id="127" name="Rounded Rectangle 126">
          <a:hlinkClick xmlns:r="http://schemas.openxmlformats.org/officeDocument/2006/relationships" r:id="rId2"/>
          <a:extLst>
            <a:ext uri="{FF2B5EF4-FFF2-40B4-BE49-F238E27FC236}">
              <a16:creationId xmlns:a16="http://schemas.microsoft.com/office/drawing/2014/main" id="{00000000-0008-0000-0000-00007F000000}"/>
            </a:ext>
          </a:extLst>
        </xdr:cNvPr>
        <xdr:cNvSpPr/>
      </xdr:nvSpPr>
      <xdr:spPr>
        <a:xfrm>
          <a:off x="2913995" y="4599796"/>
          <a:ext cx="1849777" cy="315378"/>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 Calculations (w/w or w/v)</a:t>
          </a:r>
        </a:p>
      </xdr:txBody>
    </xdr:sp>
    <xdr:clientData/>
  </xdr:twoCellAnchor>
  <xdr:twoCellAnchor>
    <xdr:from>
      <xdr:col>5</xdr:col>
      <xdr:colOff>32720</xdr:colOff>
      <xdr:row>25</xdr:row>
      <xdr:rowOff>180617</xdr:rowOff>
    </xdr:from>
    <xdr:to>
      <xdr:col>8</xdr:col>
      <xdr:colOff>60152</xdr:colOff>
      <xdr:row>27</xdr:row>
      <xdr:rowOff>114996</xdr:rowOff>
    </xdr:to>
    <xdr:sp macro="" textlink="">
      <xdr:nvSpPr>
        <xdr:cNvPr id="128" name="Rounded Rectangle 127">
          <a:hlinkClick xmlns:r="http://schemas.openxmlformats.org/officeDocument/2006/relationships" r:id="rId3"/>
          <a:extLst>
            <a:ext uri="{FF2B5EF4-FFF2-40B4-BE49-F238E27FC236}">
              <a16:creationId xmlns:a16="http://schemas.microsoft.com/office/drawing/2014/main" id="{00000000-0008-0000-0000-000080000000}"/>
            </a:ext>
          </a:extLst>
        </xdr:cNvPr>
        <xdr:cNvSpPr/>
      </xdr:nvSpPr>
      <xdr:spPr>
        <a:xfrm>
          <a:off x="2913080" y="4943117"/>
          <a:ext cx="1856232" cy="315379"/>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 % Calculations (v/v)</a:t>
          </a:r>
        </a:p>
      </xdr:txBody>
    </xdr:sp>
    <xdr:clientData/>
  </xdr:twoCellAnchor>
  <xdr:twoCellAnchor>
    <xdr:from>
      <xdr:col>0</xdr:col>
      <xdr:colOff>607730</xdr:colOff>
      <xdr:row>6</xdr:row>
      <xdr:rowOff>11479</xdr:rowOff>
    </xdr:from>
    <xdr:to>
      <xdr:col>4</xdr:col>
      <xdr:colOff>25562</xdr:colOff>
      <xdr:row>7</xdr:row>
      <xdr:rowOff>134116</xdr:rowOff>
    </xdr:to>
    <xdr:sp macro="" textlink="">
      <xdr:nvSpPr>
        <xdr:cNvPr id="129" name="Rounded Rectangle 128">
          <a:hlinkClick xmlns:r="http://schemas.openxmlformats.org/officeDocument/2006/relationships" r:id="rId4"/>
          <a:extLst>
            <a:ext uri="{FF2B5EF4-FFF2-40B4-BE49-F238E27FC236}">
              <a16:creationId xmlns:a16="http://schemas.microsoft.com/office/drawing/2014/main" id="{00000000-0008-0000-0000-000081000000}"/>
            </a:ext>
          </a:extLst>
        </xdr:cNvPr>
        <xdr:cNvSpPr/>
      </xdr:nvSpPr>
      <xdr:spPr>
        <a:xfrm>
          <a:off x="607730" y="1141032"/>
          <a:ext cx="1856232" cy="310896"/>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APAP Tablets and</a:t>
          </a:r>
          <a:r>
            <a:rPr lang="en-US" sz="1100" baseline="0">
              <a:solidFill>
                <a:sysClr val="windowText" lastClr="000000"/>
              </a:solidFill>
            </a:rPr>
            <a:t> Liquid </a:t>
          </a:r>
          <a:endParaRPr lang="en-US" sz="1100">
            <a:solidFill>
              <a:sysClr val="windowText" lastClr="000000"/>
            </a:solidFill>
          </a:endParaRPr>
        </a:p>
      </xdr:txBody>
    </xdr:sp>
    <xdr:clientData/>
  </xdr:twoCellAnchor>
  <xdr:twoCellAnchor>
    <xdr:from>
      <xdr:col>9</xdr:col>
      <xdr:colOff>24775</xdr:colOff>
      <xdr:row>13</xdr:row>
      <xdr:rowOff>46044</xdr:rowOff>
    </xdr:from>
    <xdr:to>
      <xdr:col>12</xdr:col>
      <xdr:colOff>52207</xdr:colOff>
      <xdr:row>14</xdr:row>
      <xdr:rowOff>170922</xdr:rowOff>
    </xdr:to>
    <xdr:sp macro="" textlink="">
      <xdr:nvSpPr>
        <xdr:cNvPr id="131" name="Rounded Rectangle 130">
          <a:hlinkClick xmlns:r="http://schemas.openxmlformats.org/officeDocument/2006/relationships" r:id="rId5"/>
          <a:extLst>
            <a:ext uri="{FF2B5EF4-FFF2-40B4-BE49-F238E27FC236}">
              <a16:creationId xmlns:a16="http://schemas.microsoft.com/office/drawing/2014/main" id="{00000000-0008-0000-0000-000083000000}"/>
            </a:ext>
          </a:extLst>
        </xdr:cNvPr>
        <xdr:cNvSpPr/>
      </xdr:nvSpPr>
      <xdr:spPr>
        <a:xfrm>
          <a:off x="5175895" y="2522544"/>
          <a:ext cx="1856232" cy="315378"/>
        </a:xfrm>
        <a:prstGeom prst="roundRect">
          <a:avLst/>
        </a:prstGeom>
        <a:solidFill>
          <a:srgbClr val="CC99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solidFill>
                <a:schemeClr val="bg1"/>
              </a:solidFill>
            </a:rPr>
            <a:t>NEW NAC </a:t>
          </a:r>
          <a:r>
            <a:rPr lang="en-US" sz="1100" b="1" i="0" baseline="0">
              <a:solidFill>
                <a:schemeClr val="bg1"/>
              </a:solidFill>
            </a:rPr>
            <a:t>2026</a:t>
          </a:r>
          <a:r>
            <a:rPr lang="en-US" sz="1100" b="1" baseline="0">
              <a:solidFill>
                <a:schemeClr val="bg1"/>
              </a:solidFill>
            </a:rPr>
            <a:t> Dosing</a:t>
          </a:r>
          <a:endParaRPr lang="en-US" sz="1100" b="1">
            <a:solidFill>
              <a:schemeClr val="bg1"/>
            </a:solidFill>
          </a:endParaRPr>
        </a:p>
      </xdr:txBody>
    </xdr:sp>
    <xdr:clientData/>
  </xdr:twoCellAnchor>
  <xdr:twoCellAnchor>
    <xdr:from>
      <xdr:col>0</xdr:col>
      <xdr:colOff>609599</xdr:colOff>
      <xdr:row>7</xdr:row>
      <xdr:rowOff>166299</xdr:rowOff>
    </xdr:from>
    <xdr:to>
      <xdr:col>4</xdr:col>
      <xdr:colOff>27431</xdr:colOff>
      <xdr:row>9</xdr:row>
      <xdr:rowOff>98811</xdr:rowOff>
    </xdr:to>
    <xdr:sp macro="" textlink="">
      <xdr:nvSpPr>
        <xdr:cNvPr id="178" name="Rounded Rectangle 177">
          <a:hlinkClick xmlns:r="http://schemas.openxmlformats.org/officeDocument/2006/relationships" r:id="rId6"/>
          <a:extLst>
            <a:ext uri="{FF2B5EF4-FFF2-40B4-BE49-F238E27FC236}">
              <a16:creationId xmlns:a16="http://schemas.microsoft.com/office/drawing/2014/main" id="{00000000-0008-0000-0000-0000B2000000}"/>
            </a:ext>
          </a:extLst>
        </xdr:cNvPr>
        <xdr:cNvSpPr/>
      </xdr:nvSpPr>
      <xdr:spPr>
        <a:xfrm>
          <a:off x="609599" y="1499799"/>
          <a:ext cx="1856232" cy="313512"/>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ASA</a:t>
          </a:r>
          <a:endParaRPr lang="en-US" sz="1100">
            <a:solidFill>
              <a:sysClr val="windowText" lastClr="000000"/>
            </a:solidFill>
          </a:endParaRPr>
        </a:p>
      </xdr:txBody>
    </xdr:sp>
    <xdr:clientData/>
  </xdr:twoCellAnchor>
  <xdr:twoCellAnchor>
    <xdr:from>
      <xdr:col>0</xdr:col>
      <xdr:colOff>609599</xdr:colOff>
      <xdr:row>9</xdr:row>
      <xdr:rowOff>126407</xdr:rowOff>
    </xdr:from>
    <xdr:to>
      <xdr:col>4</xdr:col>
      <xdr:colOff>27431</xdr:colOff>
      <xdr:row>11</xdr:row>
      <xdr:rowOff>58919</xdr:rowOff>
    </xdr:to>
    <xdr:sp macro="" textlink="">
      <xdr:nvSpPr>
        <xdr:cNvPr id="179" name="Rounded Rectangle 178">
          <a:hlinkClick xmlns:r="http://schemas.openxmlformats.org/officeDocument/2006/relationships" r:id="rId7"/>
          <a:extLst>
            <a:ext uri="{FF2B5EF4-FFF2-40B4-BE49-F238E27FC236}">
              <a16:creationId xmlns:a16="http://schemas.microsoft.com/office/drawing/2014/main" id="{00000000-0008-0000-0000-0000B3000000}"/>
            </a:ext>
          </a:extLst>
        </xdr:cNvPr>
        <xdr:cNvSpPr/>
      </xdr:nvSpPr>
      <xdr:spPr>
        <a:xfrm>
          <a:off x="609599" y="1840907"/>
          <a:ext cx="1856232" cy="313512"/>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aseline="0">
              <a:solidFill>
                <a:sysClr val="windowText" lastClr="000000"/>
              </a:solidFill>
              <a:latin typeface="+mn-lt"/>
              <a:ea typeface="+mn-ea"/>
              <a:cs typeface="+mn-cs"/>
            </a:rPr>
            <a:t>Salicylate Equivalents</a:t>
          </a:r>
        </a:p>
      </xdr:txBody>
    </xdr:sp>
    <xdr:clientData/>
  </xdr:twoCellAnchor>
  <xdr:twoCellAnchor>
    <xdr:from>
      <xdr:col>0</xdr:col>
      <xdr:colOff>608922</xdr:colOff>
      <xdr:row>11</xdr:row>
      <xdr:rowOff>94138</xdr:rowOff>
    </xdr:from>
    <xdr:to>
      <xdr:col>4</xdr:col>
      <xdr:colOff>26754</xdr:colOff>
      <xdr:row>13</xdr:row>
      <xdr:rowOff>24408</xdr:rowOff>
    </xdr:to>
    <xdr:sp macro="" textlink="">
      <xdr:nvSpPr>
        <xdr:cNvPr id="180" name="Rounded Rectangle 179">
          <a:hlinkClick xmlns:r="http://schemas.openxmlformats.org/officeDocument/2006/relationships" r:id="rId8"/>
          <a:extLst>
            <a:ext uri="{FF2B5EF4-FFF2-40B4-BE49-F238E27FC236}">
              <a16:creationId xmlns:a16="http://schemas.microsoft.com/office/drawing/2014/main" id="{00000000-0008-0000-0000-0000B4000000}"/>
            </a:ext>
          </a:extLst>
        </xdr:cNvPr>
        <xdr:cNvSpPr/>
      </xdr:nvSpPr>
      <xdr:spPr>
        <a:xfrm>
          <a:off x="608922" y="2189638"/>
          <a:ext cx="1856232" cy="311270"/>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Bismuth Subsalicylate</a:t>
          </a:r>
          <a:endParaRPr lang="en-US" sz="1100">
            <a:solidFill>
              <a:sysClr val="windowText" lastClr="000000"/>
            </a:solidFill>
          </a:endParaRPr>
        </a:p>
      </xdr:txBody>
    </xdr:sp>
    <xdr:clientData/>
  </xdr:twoCellAnchor>
  <xdr:twoCellAnchor>
    <xdr:from>
      <xdr:col>13</xdr:col>
      <xdr:colOff>12331</xdr:colOff>
      <xdr:row>3</xdr:row>
      <xdr:rowOff>111367</xdr:rowOff>
    </xdr:from>
    <xdr:to>
      <xdr:col>16</xdr:col>
      <xdr:colOff>39763</xdr:colOff>
      <xdr:row>5</xdr:row>
      <xdr:rowOff>41263</xdr:rowOff>
    </xdr:to>
    <xdr:sp macro="" textlink="">
      <xdr:nvSpPr>
        <xdr:cNvPr id="183" name="Rounded Rectangle 182">
          <a:hlinkClick xmlns:r="http://schemas.openxmlformats.org/officeDocument/2006/relationships" r:id="rId9"/>
          <a:extLst>
            <a:ext uri="{FF2B5EF4-FFF2-40B4-BE49-F238E27FC236}">
              <a16:creationId xmlns:a16="http://schemas.microsoft.com/office/drawing/2014/main" id="{00000000-0008-0000-0000-0000B7000000}"/>
            </a:ext>
          </a:extLst>
        </xdr:cNvPr>
        <xdr:cNvSpPr/>
      </xdr:nvSpPr>
      <xdr:spPr>
        <a:xfrm>
          <a:off x="7769491" y="682867"/>
          <a:ext cx="1856232" cy="31089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mj-lt"/>
            </a:rPr>
            <a:t>M</a:t>
          </a:r>
          <a:r>
            <a:rPr lang="en-US" sz="1200" b="1" i="0">
              <a:solidFill>
                <a:schemeClr val="lt1"/>
              </a:solidFill>
              <a:effectLst/>
              <a:latin typeface="+mj-lt"/>
              <a:ea typeface="+mn-ea"/>
              <a:cs typeface="+mn-cs"/>
            </a:rPr>
            <a:t>iscellaneous</a:t>
          </a:r>
          <a:endParaRPr lang="en-US" sz="1200">
            <a:latin typeface="+mj-lt"/>
          </a:endParaRPr>
        </a:p>
      </xdr:txBody>
    </xdr:sp>
    <xdr:clientData/>
  </xdr:twoCellAnchor>
  <xdr:twoCellAnchor>
    <xdr:from>
      <xdr:col>13</xdr:col>
      <xdr:colOff>25043</xdr:colOff>
      <xdr:row>7</xdr:row>
      <xdr:rowOff>144087</xdr:rowOff>
    </xdr:from>
    <xdr:to>
      <xdr:col>16</xdr:col>
      <xdr:colOff>52475</xdr:colOff>
      <xdr:row>9</xdr:row>
      <xdr:rowOff>76598</xdr:rowOff>
    </xdr:to>
    <xdr:sp macro="" textlink="">
      <xdr:nvSpPr>
        <xdr:cNvPr id="184" name="Rounded Rectangle 183">
          <a:hlinkClick xmlns:r="http://schemas.openxmlformats.org/officeDocument/2006/relationships" r:id="rId10"/>
          <a:extLst>
            <a:ext uri="{FF2B5EF4-FFF2-40B4-BE49-F238E27FC236}">
              <a16:creationId xmlns:a16="http://schemas.microsoft.com/office/drawing/2014/main" id="{00000000-0008-0000-0000-0000B8000000}"/>
            </a:ext>
          </a:extLst>
        </xdr:cNvPr>
        <xdr:cNvSpPr/>
      </xdr:nvSpPr>
      <xdr:spPr>
        <a:xfrm>
          <a:off x="7446923" y="1477587"/>
          <a:ext cx="1856232" cy="313511"/>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Lab</a:t>
          </a:r>
          <a:r>
            <a:rPr lang="en-US" sz="1100" baseline="0">
              <a:solidFill>
                <a:sysClr val="windowText" lastClr="000000"/>
              </a:solidFill>
            </a:rPr>
            <a:t> Conversions</a:t>
          </a:r>
          <a:endParaRPr lang="en-US" sz="1100">
            <a:solidFill>
              <a:sysClr val="windowText" lastClr="000000"/>
            </a:solidFill>
          </a:endParaRPr>
        </a:p>
      </xdr:txBody>
    </xdr:sp>
    <xdr:clientData/>
  </xdr:twoCellAnchor>
  <xdr:twoCellAnchor>
    <xdr:from>
      <xdr:col>1</xdr:col>
      <xdr:colOff>4923</xdr:colOff>
      <xdr:row>16</xdr:row>
      <xdr:rowOff>172362</xdr:rowOff>
    </xdr:from>
    <xdr:to>
      <xdr:col>4</xdr:col>
      <xdr:colOff>32355</xdr:colOff>
      <xdr:row>18</xdr:row>
      <xdr:rowOff>102633</xdr:rowOff>
    </xdr:to>
    <xdr:sp macro="" textlink="">
      <xdr:nvSpPr>
        <xdr:cNvPr id="50" name="Rounded Rectangle 49">
          <a:hlinkClick xmlns:r="http://schemas.openxmlformats.org/officeDocument/2006/relationships" r:id="rId11"/>
          <a:extLst>
            <a:ext uri="{FF2B5EF4-FFF2-40B4-BE49-F238E27FC236}">
              <a16:creationId xmlns:a16="http://schemas.microsoft.com/office/drawing/2014/main" id="{00000000-0008-0000-0000-000032000000}"/>
            </a:ext>
          </a:extLst>
        </xdr:cNvPr>
        <xdr:cNvSpPr/>
      </xdr:nvSpPr>
      <xdr:spPr>
        <a:xfrm>
          <a:off x="614523" y="3220362"/>
          <a:ext cx="1856232" cy="311271"/>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Camphor</a:t>
          </a:r>
          <a:endParaRPr lang="en-US" sz="1100">
            <a:solidFill>
              <a:sysClr val="windowText" lastClr="000000"/>
            </a:solidFill>
          </a:endParaRPr>
        </a:p>
      </xdr:txBody>
    </xdr:sp>
    <xdr:clientData/>
  </xdr:twoCellAnchor>
  <xdr:twoCellAnchor>
    <xdr:from>
      <xdr:col>1</xdr:col>
      <xdr:colOff>8617</xdr:colOff>
      <xdr:row>18</xdr:row>
      <xdr:rowOff>131198</xdr:rowOff>
    </xdr:from>
    <xdr:to>
      <xdr:col>4</xdr:col>
      <xdr:colOff>36049</xdr:colOff>
      <xdr:row>20</xdr:row>
      <xdr:rowOff>63710</xdr:rowOff>
    </xdr:to>
    <xdr:sp macro="" textlink="">
      <xdr:nvSpPr>
        <xdr:cNvPr id="51" name="Rounded Rectangle 50">
          <a:hlinkClick xmlns:r="http://schemas.openxmlformats.org/officeDocument/2006/relationships" r:id="rId12"/>
          <a:extLst>
            <a:ext uri="{FF2B5EF4-FFF2-40B4-BE49-F238E27FC236}">
              <a16:creationId xmlns:a16="http://schemas.microsoft.com/office/drawing/2014/main" id="{00000000-0008-0000-0000-000033000000}"/>
            </a:ext>
          </a:extLst>
        </xdr:cNvPr>
        <xdr:cNvSpPr/>
      </xdr:nvSpPr>
      <xdr:spPr>
        <a:xfrm>
          <a:off x="618217" y="3560198"/>
          <a:ext cx="1856232" cy="313512"/>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DEET</a:t>
          </a:r>
          <a:endParaRPr lang="en-US" sz="1100">
            <a:solidFill>
              <a:sysClr val="windowText" lastClr="000000"/>
            </a:solidFill>
          </a:endParaRPr>
        </a:p>
      </xdr:txBody>
    </xdr:sp>
    <xdr:clientData/>
  </xdr:twoCellAnchor>
  <xdr:twoCellAnchor>
    <xdr:from>
      <xdr:col>9</xdr:col>
      <xdr:colOff>22419</xdr:colOff>
      <xdr:row>6</xdr:row>
      <xdr:rowOff>2170</xdr:rowOff>
    </xdr:from>
    <xdr:to>
      <xdr:col>12</xdr:col>
      <xdr:colOff>49851</xdr:colOff>
      <xdr:row>7</xdr:row>
      <xdr:rowOff>122941</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000-000034000000}"/>
            </a:ext>
          </a:extLst>
        </xdr:cNvPr>
        <xdr:cNvSpPr/>
      </xdr:nvSpPr>
      <xdr:spPr>
        <a:xfrm>
          <a:off x="5173539" y="1145170"/>
          <a:ext cx="1856232" cy="311271"/>
        </a:xfrm>
        <a:prstGeom prst="roundRect">
          <a:avLst/>
        </a:prstGeom>
        <a:solidFill>
          <a:schemeClr val="accent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chemeClr val="bg1"/>
              </a:solidFill>
            </a:rPr>
            <a:t>DigiFab Dosing </a:t>
          </a:r>
          <a:endParaRPr lang="en-US" sz="1100">
            <a:solidFill>
              <a:schemeClr val="bg1"/>
            </a:solidFill>
          </a:endParaRPr>
        </a:p>
      </xdr:txBody>
    </xdr:sp>
    <xdr:clientData/>
  </xdr:twoCellAnchor>
  <xdr:twoCellAnchor>
    <xdr:from>
      <xdr:col>1</xdr:col>
      <xdr:colOff>4921</xdr:colOff>
      <xdr:row>20</xdr:row>
      <xdr:rowOff>92654</xdr:rowOff>
    </xdr:from>
    <xdr:to>
      <xdr:col>4</xdr:col>
      <xdr:colOff>32353</xdr:colOff>
      <xdr:row>22</xdr:row>
      <xdr:rowOff>25166</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000-000035000000}"/>
            </a:ext>
          </a:extLst>
        </xdr:cNvPr>
        <xdr:cNvSpPr/>
      </xdr:nvSpPr>
      <xdr:spPr>
        <a:xfrm>
          <a:off x="614521" y="3902654"/>
          <a:ext cx="1856232" cy="313512"/>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Diphenhydramine</a:t>
          </a:r>
          <a:endParaRPr lang="en-US" sz="1100">
            <a:solidFill>
              <a:sysClr val="windowText" lastClr="000000"/>
            </a:solidFill>
          </a:endParaRPr>
        </a:p>
      </xdr:txBody>
    </xdr:sp>
    <xdr:clientData/>
  </xdr:twoCellAnchor>
  <xdr:twoCellAnchor>
    <xdr:from>
      <xdr:col>5</xdr:col>
      <xdr:colOff>33144</xdr:colOff>
      <xdr:row>27</xdr:row>
      <xdr:rowOff>142027</xdr:rowOff>
    </xdr:from>
    <xdr:to>
      <xdr:col>8</xdr:col>
      <xdr:colOff>51432</xdr:colOff>
      <xdr:row>29</xdr:row>
      <xdr:rowOff>76405</xdr:rowOff>
    </xdr:to>
    <xdr:sp macro="" textlink="">
      <xdr:nvSpPr>
        <xdr:cNvPr id="54" name="Rounded Rectangle 53">
          <a:hlinkClick xmlns:r="http://schemas.openxmlformats.org/officeDocument/2006/relationships" r:id="rId15"/>
          <a:extLst>
            <a:ext uri="{FF2B5EF4-FFF2-40B4-BE49-F238E27FC236}">
              <a16:creationId xmlns:a16="http://schemas.microsoft.com/office/drawing/2014/main" id="{00000000-0008-0000-0000-000036000000}"/>
            </a:ext>
          </a:extLst>
        </xdr:cNvPr>
        <xdr:cNvSpPr/>
      </xdr:nvSpPr>
      <xdr:spPr>
        <a:xfrm>
          <a:off x="2913504" y="5285527"/>
          <a:ext cx="1847088" cy="315378"/>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solidFill>
                <a:sysClr val="windowText" lastClr="000000"/>
              </a:solidFill>
            </a:rPr>
            <a:t>Uncategorized</a:t>
          </a:r>
          <a:r>
            <a:rPr lang="en-US" sz="1000" baseline="0">
              <a:solidFill>
                <a:sysClr val="windowText" lastClr="000000"/>
              </a:solidFill>
            </a:rPr>
            <a:t> Calculations</a:t>
          </a:r>
          <a:endParaRPr lang="en-US" sz="1000">
            <a:solidFill>
              <a:sysClr val="windowText" lastClr="000000"/>
            </a:solidFill>
          </a:endParaRPr>
        </a:p>
      </xdr:txBody>
    </xdr:sp>
    <xdr:clientData/>
  </xdr:twoCellAnchor>
  <xdr:twoCellAnchor>
    <xdr:from>
      <xdr:col>1</xdr:col>
      <xdr:colOff>14426</xdr:colOff>
      <xdr:row>25</xdr:row>
      <xdr:rowOff>168416</xdr:rowOff>
    </xdr:from>
    <xdr:to>
      <xdr:col>4</xdr:col>
      <xdr:colOff>41858</xdr:colOff>
      <xdr:row>27</xdr:row>
      <xdr:rowOff>100932</xdr:rowOff>
    </xdr:to>
    <xdr:sp macro="" textlink="">
      <xdr:nvSpPr>
        <xdr:cNvPr id="55" name="Rounded Rectangle 54">
          <a:hlinkClick xmlns:r="http://schemas.openxmlformats.org/officeDocument/2006/relationships" r:id="rId16"/>
          <a:extLst>
            <a:ext uri="{FF2B5EF4-FFF2-40B4-BE49-F238E27FC236}">
              <a16:creationId xmlns:a16="http://schemas.microsoft.com/office/drawing/2014/main" id="{00000000-0008-0000-0000-000037000000}"/>
            </a:ext>
          </a:extLst>
        </xdr:cNvPr>
        <xdr:cNvSpPr/>
      </xdr:nvSpPr>
      <xdr:spPr>
        <a:xfrm>
          <a:off x="624026" y="4930916"/>
          <a:ext cx="1856232" cy="313516"/>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Fluoride</a:t>
          </a:r>
          <a:endParaRPr lang="en-US" sz="1100">
            <a:solidFill>
              <a:sysClr val="windowText" lastClr="000000"/>
            </a:solidFill>
          </a:endParaRPr>
        </a:p>
      </xdr:txBody>
    </xdr:sp>
    <xdr:clientData/>
  </xdr:twoCellAnchor>
  <xdr:twoCellAnchor>
    <xdr:from>
      <xdr:col>5</xdr:col>
      <xdr:colOff>28567</xdr:colOff>
      <xdr:row>7</xdr:row>
      <xdr:rowOff>162918</xdr:rowOff>
    </xdr:from>
    <xdr:to>
      <xdr:col>8</xdr:col>
      <xdr:colOff>55999</xdr:colOff>
      <xdr:row>9</xdr:row>
      <xdr:rowOff>98835</xdr:rowOff>
    </xdr:to>
    <xdr:sp macro="" textlink="">
      <xdr:nvSpPr>
        <xdr:cNvPr id="58" name="Rounded Rectangle 57">
          <a:hlinkClick xmlns:r="http://schemas.openxmlformats.org/officeDocument/2006/relationships" r:id="rId17"/>
          <a:extLst>
            <a:ext uri="{FF2B5EF4-FFF2-40B4-BE49-F238E27FC236}">
              <a16:creationId xmlns:a16="http://schemas.microsoft.com/office/drawing/2014/main" id="{00000000-0008-0000-0000-00003A000000}"/>
            </a:ext>
          </a:extLst>
        </xdr:cNvPr>
        <xdr:cNvSpPr/>
      </xdr:nvSpPr>
      <xdr:spPr>
        <a:xfrm>
          <a:off x="2908927" y="1496418"/>
          <a:ext cx="1856232" cy="316917"/>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Iron</a:t>
          </a:r>
          <a:endParaRPr lang="en-US" sz="1100">
            <a:solidFill>
              <a:sysClr val="windowText" lastClr="000000"/>
            </a:solidFill>
          </a:endParaRPr>
        </a:p>
      </xdr:txBody>
    </xdr:sp>
    <xdr:clientData/>
  </xdr:twoCellAnchor>
  <xdr:twoCellAnchor>
    <xdr:from>
      <xdr:col>9</xdr:col>
      <xdr:colOff>22408</xdr:colOff>
      <xdr:row>9</xdr:row>
      <xdr:rowOff>121846</xdr:rowOff>
    </xdr:from>
    <xdr:to>
      <xdr:col>12</xdr:col>
      <xdr:colOff>49840</xdr:colOff>
      <xdr:row>11</xdr:row>
      <xdr:rowOff>56224</xdr:rowOff>
    </xdr:to>
    <xdr:sp macro="" textlink="">
      <xdr:nvSpPr>
        <xdr:cNvPr id="61" name="Rounded Rectangle 60">
          <a:hlinkClick xmlns:r="http://schemas.openxmlformats.org/officeDocument/2006/relationships" r:id="rId18"/>
          <a:extLst>
            <a:ext uri="{FF2B5EF4-FFF2-40B4-BE49-F238E27FC236}">
              <a16:creationId xmlns:a16="http://schemas.microsoft.com/office/drawing/2014/main" id="{00000000-0008-0000-0000-00003D000000}"/>
            </a:ext>
          </a:extLst>
        </xdr:cNvPr>
        <xdr:cNvSpPr/>
      </xdr:nvSpPr>
      <xdr:spPr>
        <a:xfrm>
          <a:off x="5173528" y="1836346"/>
          <a:ext cx="1856232" cy="315378"/>
        </a:xfrm>
        <a:prstGeom prst="roundRect">
          <a:avLst/>
        </a:prstGeom>
        <a:solidFill>
          <a:schemeClr val="accent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chemeClr val="bg1"/>
              </a:solidFill>
            </a:rPr>
            <a:t>HIE (</a:t>
          </a:r>
          <a:r>
            <a:rPr lang="en-US" sz="800" baseline="0">
              <a:solidFill>
                <a:schemeClr val="bg1"/>
              </a:solidFill>
            </a:rPr>
            <a:t>High-Dose insulin Euglycemia</a:t>
          </a:r>
          <a:r>
            <a:rPr lang="en-US" sz="1100" baseline="0">
              <a:solidFill>
                <a:schemeClr val="bg1"/>
              </a:solidFill>
            </a:rPr>
            <a:t>)</a:t>
          </a:r>
        </a:p>
      </xdr:txBody>
    </xdr:sp>
    <xdr:clientData/>
  </xdr:twoCellAnchor>
  <xdr:twoCellAnchor>
    <xdr:from>
      <xdr:col>1</xdr:col>
      <xdr:colOff>9322</xdr:colOff>
      <xdr:row>27</xdr:row>
      <xdr:rowOff>125810</xdr:rowOff>
    </xdr:from>
    <xdr:to>
      <xdr:col>4</xdr:col>
      <xdr:colOff>36754</xdr:colOff>
      <xdr:row>29</xdr:row>
      <xdr:rowOff>56079</xdr:rowOff>
    </xdr:to>
    <xdr:sp macro="" textlink="">
      <xdr:nvSpPr>
        <xdr:cNvPr id="65" name="Rounded Rectangle 64">
          <a:hlinkClick xmlns:r="http://schemas.openxmlformats.org/officeDocument/2006/relationships" r:id="rId19"/>
          <a:extLst>
            <a:ext uri="{FF2B5EF4-FFF2-40B4-BE49-F238E27FC236}">
              <a16:creationId xmlns:a16="http://schemas.microsoft.com/office/drawing/2014/main" id="{00000000-0008-0000-0000-000041000000}"/>
            </a:ext>
          </a:extLst>
        </xdr:cNvPr>
        <xdr:cNvSpPr/>
      </xdr:nvSpPr>
      <xdr:spPr>
        <a:xfrm>
          <a:off x="618922" y="5269310"/>
          <a:ext cx="1856232" cy="311269"/>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Imidazoline </a:t>
          </a:r>
          <a:r>
            <a:rPr lang="en-US" sz="1000" baseline="0">
              <a:solidFill>
                <a:sysClr val="windowText" lastClr="000000"/>
              </a:solidFill>
            </a:rPr>
            <a:t>(i.e  Otrivin)</a:t>
          </a:r>
          <a:endParaRPr lang="en-US" sz="1000">
            <a:solidFill>
              <a:sysClr val="windowText" lastClr="000000"/>
            </a:solidFill>
          </a:endParaRPr>
        </a:p>
      </xdr:txBody>
    </xdr:sp>
    <xdr:clientData/>
  </xdr:twoCellAnchor>
  <xdr:twoCellAnchor>
    <xdr:from>
      <xdr:col>5</xdr:col>
      <xdr:colOff>30494</xdr:colOff>
      <xdr:row>6</xdr:row>
      <xdr:rowOff>10388</xdr:rowOff>
    </xdr:from>
    <xdr:to>
      <xdr:col>8</xdr:col>
      <xdr:colOff>57926</xdr:colOff>
      <xdr:row>7</xdr:row>
      <xdr:rowOff>128833</xdr:rowOff>
    </xdr:to>
    <xdr:sp macro="" textlink="">
      <xdr:nvSpPr>
        <xdr:cNvPr id="68" name="Rounded Rectangle 67">
          <a:hlinkClick xmlns:r="http://schemas.openxmlformats.org/officeDocument/2006/relationships" r:id="rId20"/>
          <a:extLst>
            <a:ext uri="{FF2B5EF4-FFF2-40B4-BE49-F238E27FC236}">
              <a16:creationId xmlns:a16="http://schemas.microsoft.com/office/drawing/2014/main" id="{00000000-0008-0000-0000-000044000000}"/>
            </a:ext>
          </a:extLst>
        </xdr:cNvPr>
        <xdr:cNvSpPr/>
      </xdr:nvSpPr>
      <xdr:spPr>
        <a:xfrm>
          <a:off x="2910854" y="1153388"/>
          <a:ext cx="1856232" cy="308945"/>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IPA</a:t>
          </a:r>
          <a:endParaRPr lang="en-US" sz="1100">
            <a:solidFill>
              <a:sysClr val="windowText" lastClr="000000"/>
            </a:solidFill>
          </a:endParaRPr>
        </a:p>
      </xdr:txBody>
    </xdr:sp>
    <xdr:clientData/>
  </xdr:twoCellAnchor>
  <xdr:twoCellAnchor>
    <xdr:from>
      <xdr:col>1</xdr:col>
      <xdr:colOff>12341</xdr:colOff>
      <xdr:row>22</xdr:row>
      <xdr:rowOff>50301</xdr:rowOff>
    </xdr:from>
    <xdr:to>
      <xdr:col>4</xdr:col>
      <xdr:colOff>39773</xdr:colOff>
      <xdr:row>23</xdr:row>
      <xdr:rowOff>179045</xdr:rowOff>
    </xdr:to>
    <xdr:sp macro="" textlink="">
      <xdr:nvSpPr>
        <xdr:cNvPr id="69" name="Rounded Rectangle 68">
          <a:hlinkClick xmlns:r="http://schemas.openxmlformats.org/officeDocument/2006/relationships" r:id="rId21"/>
          <a:extLst>
            <a:ext uri="{FF2B5EF4-FFF2-40B4-BE49-F238E27FC236}">
              <a16:creationId xmlns:a16="http://schemas.microsoft.com/office/drawing/2014/main" id="{00000000-0008-0000-0000-000045000000}"/>
            </a:ext>
          </a:extLst>
        </xdr:cNvPr>
        <xdr:cNvSpPr/>
      </xdr:nvSpPr>
      <xdr:spPr>
        <a:xfrm>
          <a:off x="621941" y="4241301"/>
          <a:ext cx="1856232" cy="319244"/>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Ethylene Glycol &amp; Methanol</a:t>
          </a:r>
          <a:endParaRPr lang="en-US" sz="1100">
            <a:solidFill>
              <a:sysClr val="windowText" lastClr="000000"/>
            </a:solidFill>
          </a:endParaRPr>
        </a:p>
      </xdr:txBody>
    </xdr:sp>
    <xdr:clientData/>
  </xdr:twoCellAnchor>
  <xdr:twoCellAnchor>
    <xdr:from>
      <xdr:col>9</xdr:col>
      <xdr:colOff>26130</xdr:colOff>
      <xdr:row>7</xdr:row>
      <xdr:rowOff>153670</xdr:rowOff>
    </xdr:from>
    <xdr:to>
      <xdr:col>12</xdr:col>
      <xdr:colOff>53562</xdr:colOff>
      <xdr:row>9</xdr:row>
      <xdr:rowOff>89588</xdr:rowOff>
    </xdr:to>
    <xdr:sp macro="" textlink="">
      <xdr:nvSpPr>
        <xdr:cNvPr id="70" name="Rounded Rectangle 69">
          <a:hlinkClick xmlns:r="http://schemas.openxmlformats.org/officeDocument/2006/relationships" r:id="rId22"/>
          <a:extLst>
            <a:ext uri="{FF2B5EF4-FFF2-40B4-BE49-F238E27FC236}">
              <a16:creationId xmlns:a16="http://schemas.microsoft.com/office/drawing/2014/main" id="{00000000-0008-0000-0000-000046000000}"/>
            </a:ext>
          </a:extLst>
        </xdr:cNvPr>
        <xdr:cNvSpPr/>
      </xdr:nvSpPr>
      <xdr:spPr>
        <a:xfrm>
          <a:off x="5177250" y="1487170"/>
          <a:ext cx="1856232" cy="316918"/>
        </a:xfrm>
        <a:prstGeom prst="roundRect">
          <a:avLst/>
        </a:prstGeom>
        <a:solidFill>
          <a:schemeClr val="accent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chemeClr val="bg1"/>
              </a:solidFill>
            </a:rPr>
            <a:t>Fomepizole &amp; Cofactors </a:t>
          </a:r>
          <a:endParaRPr lang="en-US" sz="1100">
            <a:solidFill>
              <a:schemeClr val="bg1"/>
            </a:solidFill>
          </a:endParaRPr>
        </a:p>
      </xdr:txBody>
    </xdr:sp>
    <xdr:clientData/>
  </xdr:twoCellAnchor>
  <xdr:twoCellAnchor>
    <xdr:from>
      <xdr:col>13</xdr:col>
      <xdr:colOff>21756</xdr:colOff>
      <xdr:row>5</xdr:row>
      <xdr:rowOff>182072</xdr:rowOff>
    </xdr:from>
    <xdr:to>
      <xdr:col>16</xdr:col>
      <xdr:colOff>49188</xdr:colOff>
      <xdr:row>7</xdr:row>
      <xdr:rowOff>117990</xdr:rowOff>
    </xdr:to>
    <xdr:sp macro="" textlink="">
      <xdr:nvSpPr>
        <xdr:cNvPr id="71" name="Rounded Rectangle 70">
          <a:hlinkClick xmlns:r="http://schemas.openxmlformats.org/officeDocument/2006/relationships" r:id="rId23"/>
          <a:extLst>
            <a:ext uri="{FF2B5EF4-FFF2-40B4-BE49-F238E27FC236}">
              <a16:creationId xmlns:a16="http://schemas.microsoft.com/office/drawing/2014/main" id="{00000000-0008-0000-0000-000047000000}"/>
            </a:ext>
          </a:extLst>
        </xdr:cNvPr>
        <xdr:cNvSpPr/>
      </xdr:nvSpPr>
      <xdr:spPr>
        <a:xfrm>
          <a:off x="7778916" y="1134572"/>
          <a:ext cx="1856232" cy="316918"/>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Blood Gas Analysis &amp; Gaps</a:t>
          </a:r>
        </a:p>
      </xdr:txBody>
    </xdr:sp>
    <xdr:clientData/>
  </xdr:twoCellAnchor>
  <xdr:twoCellAnchor>
    <xdr:from>
      <xdr:col>5</xdr:col>
      <xdr:colOff>31601</xdr:colOff>
      <xdr:row>15</xdr:row>
      <xdr:rowOff>27066</xdr:rowOff>
    </xdr:from>
    <xdr:to>
      <xdr:col>8</xdr:col>
      <xdr:colOff>59033</xdr:colOff>
      <xdr:row>16</xdr:row>
      <xdr:rowOff>151945</xdr:rowOff>
    </xdr:to>
    <xdr:sp macro="" textlink="">
      <xdr:nvSpPr>
        <xdr:cNvPr id="75" name="Rounded Rectangle 74">
          <a:hlinkClick xmlns:r="http://schemas.openxmlformats.org/officeDocument/2006/relationships" r:id="rId24"/>
          <a:extLst>
            <a:ext uri="{FF2B5EF4-FFF2-40B4-BE49-F238E27FC236}">
              <a16:creationId xmlns:a16="http://schemas.microsoft.com/office/drawing/2014/main" id="{00000000-0008-0000-0000-00004B000000}"/>
            </a:ext>
          </a:extLst>
        </xdr:cNvPr>
        <xdr:cNvSpPr/>
      </xdr:nvSpPr>
      <xdr:spPr>
        <a:xfrm>
          <a:off x="2911961" y="2884566"/>
          <a:ext cx="1856232" cy="315379"/>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Sodium Chloride</a:t>
          </a:r>
        </a:p>
      </xdr:txBody>
    </xdr:sp>
    <xdr:clientData/>
  </xdr:twoCellAnchor>
  <xdr:twoCellAnchor>
    <xdr:from>
      <xdr:col>1</xdr:col>
      <xdr:colOff>12817</xdr:colOff>
      <xdr:row>24</xdr:row>
      <xdr:rowOff>14131</xdr:rowOff>
    </xdr:from>
    <xdr:to>
      <xdr:col>4</xdr:col>
      <xdr:colOff>40249</xdr:colOff>
      <xdr:row>25</xdr:row>
      <xdr:rowOff>134901</xdr:rowOff>
    </xdr:to>
    <xdr:sp macro="" textlink="">
      <xdr:nvSpPr>
        <xdr:cNvPr id="76" name="Rounded Rectangle 75">
          <a:hlinkClick xmlns:r="http://schemas.openxmlformats.org/officeDocument/2006/relationships" r:id="rId25"/>
          <a:extLst>
            <a:ext uri="{FF2B5EF4-FFF2-40B4-BE49-F238E27FC236}">
              <a16:creationId xmlns:a16="http://schemas.microsoft.com/office/drawing/2014/main" id="{00000000-0008-0000-0000-00004C000000}"/>
            </a:ext>
          </a:extLst>
        </xdr:cNvPr>
        <xdr:cNvSpPr/>
      </xdr:nvSpPr>
      <xdr:spPr>
        <a:xfrm>
          <a:off x="622417" y="4586131"/>
          <a:ext cx="1856232" cy="311270"/>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EtOH</a:t>
          </a:r>
          <a:endParaRPr lang="en-US" sz="1100">
            <a:solidFill>
              <a:sysClr val="windowText" lastClr="000000"/>
            </a:solidFill>
          </a:endParaRPr>
        </a:p>
      </xdr:txBody>
    </xdr:sp>
    <xdr:clientData/>
  </xdr:twoCellAnchor>
  <xdr:twoCellAnchor>
    <xdr:from>
      <xdr:col>5</xdr:col>
      <xdr:colOff>30740</xdr:colOff>
      <xdr:row>9</xdr:row>
      <xdr:rowOff>129829</xdr:rowOff>
    </xdr:from>
    <xdr:to>
      <xdr:col>8</xdr:col>
      <xdr:colOff>58172</xdr:colOff>
      <xdr:row>11</xdr:row>
      <xdr:rowOff>65747</xdr:rowOff>
    </xdr:to>
    <xdr:sp macro="" textlink="">
      <xdr:nvSpPr>
        <xdr:cNvPr id="66" name="Rounded Rectangle 65">
          <a:hlinkClick xmlns:r="http://schemas.openxmlformats.org/officeDocument/2006/relationships" r:id="rId26"/>
          <a:extLst>
            <a:ext uri="{FF2B5EF4-FFF2-40B4-BE49-F238E27FC236}">
              <a16:creationId xmlns:a16="http://schemas.microsoft.com/office/drawing/2014/main" id="{00000000-0008-0000-0000-000042000000}"/>
            </a:ext>
          </a:extLst>
        </xdr:cNvPr>
        <xdr:cNvSpPr/>
      </xdr:nvSpPr>
      <xdr:spPr>
        <a:xfrm>
          <a:off x="2911100" y="1844329"/>
          <a:ext cx="1856232" cy="316918"/>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Lidocaine (i.e. Polysporin)</a:t>
          </a:r>
          <a:endParaRPr lang="en-US" sz="1100">
            <a:solidFill>
              <a:sysClr val="windowText" lastClr="000000"/>
            </a:solidFill>
          </a:endParaRPr>
        </a:p>
      </xdr:txBody>
    </xdr:sp>
    <xdr:clientData/>
  </xdr:twoCellAnchor>
  <xdr:twoCellAnchor>
    <xdr:from>
      <xdr:col>5</xdr:col>
      <xdr:colOff>30744</xdr:colOff>
      <xdr:row>11</xdr:row>
      <xdr:rowOff>97552</xdr:rowOff>
    </xdr:from>
    <xdr:to>
      <xdr:col>8</xdr:col>
      <xdr:colOff>58176</xdr:colOff>
      <xdr:row>13</xdr:row>
      <xdr:rowOff>31228</xdr:rowOff>
    </xdr:to>
    <xdr:sp macro="" textlink="">
      <xdr:nvSpPr>
        <xdr:cNvPr id="77" name="Rounded Rectangle 76">
          <a:hlinkClick xmlns:r="http://schemas.openxmlformats.org/officeDocument/2006/relationships" r:id="rId27"/>
          <a:extLst>
            <a:ext uri="{FF2B5EF4-FFF2-40B4-BE49-F238E27FC236}">
              <a16:creationId xmlns:a16="http://schemas.microsoft.com/office/drawing/2014/main" id="{00000000-0008-0000-0000-00004D000000}"/>
            </a:ext>
          </a:extLst>
        </xdr:cNvPr>
        <xdr:cNvSpPr/>
      </xdr:nvSpPr>
      <xdr:spPr>
        <a:xfrm>
          <a:off x="2911104" y="2193052"/>
          <a:ext cx="1856232" cy="314676"/>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NSAIDs </a:t>
          </a:r>
          <a:endParaRPr lang="en-US" sz="1100">
            <a:solidFill>
              <a:sysClr val="windowText" lastClr="000000"/>
            </a:solidFill>
          </a:endParaRPr>
        </a:p>
      </xdr:txBody>
    </xdr:sp>
    <xdr:clientData/>
  </xdr:twoCellAnchor>
  <xdr:twoCellAnchor>
    <xdr:from>
      <xdr:col>9</xdr:col>
      <xdr:colOff>24618</xdr:colOff>
      <xdr:row>11</xdr:row>
      <xdr:rowOff>81493</xdr:rowOff>
    </xdr:from>
    <xdr:to>
      <xdr:col>12</xdr:col>
      <xdr:colOff>52050</xdr:colOff>
      <xdr:row>13</xdr:row>
      <xdr:rowOff>13630</xdr:rowOff>
    </xdr:to>
    <xdr:sp macro="" textlink="">
      <xdr:nvSpPr>
        <xdr:cNvPr id="79" name="Rounded Rectangle 78">
          <a:hlinkClick xmlns:r="http://schemas.openxmlformats.org/officeDocument/2006/relationships" r:id="rId28"/>
          <a:extLst>
            <a:ext uri="{FF2B5EF4-FFF2-40B4-BE49-F238E27FC236}">
              <a16:creationId xmlns:a16="http://schemas.microsoft.com/office/drawing/2014/main" id="{00000000-0008-0000-0000-00004F000000}"/>
            </a:ext>
          </a:extLst>
        </xdr:cNvPr>
        <xdr:cNvSpPr/>
      </xdr:nvSpPr>
      <xdr:spPr>
        <a:xfrm>
          <a:off x="5175738" y="2176993"/>
          <a:ext cx="1856232" cy="313137"/>
        </a:xfrm>
        <a:prstGeom prst="roundRect">
          <a:avLst/>
        </a:prstGeom>
        <a:solidFill>
          <a:schemeClr val="accent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rPr>
            <a:t>Lipid</a:t>
          </a:r>
          <a:r>
            <a:rPr lang="en-US" sz="1100" baseline="0">
              <a:solidFill>
                <a:schemeClr val="bg1"/>
              </a:solidFill>
            </a:rPr>
            <a:t> Dosing</a:t>
          </a:r>
          <a:endParaRPr lang="en-US" sz="1100">
            <a:solidFill>
              <a:schemeClr val="bg1"/>
            </a:solidFill>
          </a:endParaRPr>
        </a:p>
      </xdr:txBody>
    </xdr:sp>
    <xdr:clientData/>
  </xdr:twoCellAnchor>
  <xdr:twoCellAnchor>
    <xdr:from>
      <xdr:col>1</xdr:col>
      <xdr:colOff>22860</xdr:colOff>
      <xdr:row>3</xdr:row>
      <xdr:rowOff>116828</xdr:rowOff>
    </xdr:from>
    <xdr:to>
      <xdr:col>8</xdr:col>
      <xdr:colOff>22860</xdr:colOff>
      <xdr:row>5</xdr:row>
      <xdr:rowOff>46724</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000-00003E000000}"/>
            </a:ext>
          </a:extLst>
        </xdr:cNvPr>
        <xdr:cNvSpPr/>
      </xdr:nvSpPr>
      <xdr:spPr>
        <a:xfrm>
          <a:off x="632460" y="688328"/>
          <a:ext cx="4099560" cy="310896"/>
        </a:xfrm>
        <a:prstGeom prst="round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Common Substances</a:t>
          </a:r>
        </a:p>
      </xdr:txBody>
    </xdr:sp>
    <xdr:clientData/>
  </xdr:twoCellAnchor>
  <xdr:twoCellAnchor>
    <xdr:from>
      <xdr:col>8</xdr:col>
      <xdr:colOff>596890</xdr:colOff>
      <xdr:row>3</xdr:row>
      <xdr:rowOff>99060</xdr:rowOff>
    </xdr:from>
    <xdr:to>
      <xdr:col>12</xdr:col>
      <xdr:colOff>14722</xdr:colOff>
      <xdr:row>5</xdr:row>
      <xdr:rowOff>28956</xdr:rowOff>
    </xdr:to>
    <xdr:sp macro="" textlink="">
      <xdr:nvSpPr>
        <xdr:cNvPr id="63" name="Rounded Rectangle 62">
          <a:hlinkClick xmlns:r="http://schemas.openxmlformats.org/officeDocument/2006/relationships" r:id="rId9"/>
          <a:extLst>
            <a:ext uri="{FF2B5EF4-FFF2-40B4-BE49-F238E27FC236}">
              <a16:creationId xmlns:a16="http://schemas.microsoft.com/office/drawing/2014/main" id="{00000000-0008-0000-0000-00003F000000}"/>
            </a:ext>
          </a:extLst>
        </xdr:cNvPr>
        <xdr:cNvSpPr/>
      </xdr:nvSpPr>
      <xdr:spPr>
        <a:xfrm>
          <a:off x="5306050" y="670560"/>
          <a:ext cx="1856232" cy="310896"/>
        </a:xfrm>
        <a:prstGeom prst="roundRect">
          <a:avLst/>
        </a:prstGeom>
        <a:solidFill>
          <a:schemeClr val="accent5"/>
        </a:solidFill>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200"/>
            <a:t>Common Treatments</a:t>
          </a:r>
        </a:p>
      </xdr:txBody>
    </xdr:sp>
    <xdr:clientData/>
  </xdr:twoCellAnchor>
  <xdr:twoCellAnchor>
    <xdr:from>
      <xdr:col>0</xdr:col>
      <xdr:colOff>609599</xdr:colOff>
      <xdr:row>15</xdr:row>
      <xdr:rowOff>18030</xdr:rowOff>
    </xdr:from>
    <xdr:to>
      <xdr:col>4</xdr:col>
      <xdr:colOff>27431</xdr:colOff>
      <xdr:row>16</xdr:row>
      <xdr:rowOff>141041</xdr:rowOff>
    </xdr:to>
    <xdr:sp macro="" textlink="">
      <xdr:nvSpPr>
        <xdr:cNvPr id="84" name="Rounded Rectangle 83">
          <a:hlinkClick xmlns:r="http://schemas.openxmlformats.org/officeDocument/2006/relationships" r:id="rId29"/>
          <a:extLst>
            <a:ext uri="{FF2B5EF4-FFF2-40B4-BE49-F238E27FC236}">
              <a16:creationId xmlns:a16="http://schemas.microsoft.com/office/drawing/2014/main" id="{00000000-0008-0000-0000-000054000000}"/>
            </a:ext>
          </a:extLst>
        </xdr:cNvPr>
        <xdr:cNvSpPr/>
      </xdr:nvSpPr>
      <xdr:spPr>
        <a:xfrm>
          <a:off x="609599" y="2875530"/>
          <a:ext cx="1856232" cy="313511"/>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Borax</a:t>
          </a:r>
          <a:endParaRPr lang="en-US" sz="1100">
            <a:solidFill>
              <a:sysClr val="windowText" lastClr="000000"/>
            </a:solidFill>
          </a:endParaRPr>
        </a:p>
      </xdr:txBody>
    </xdr:sp>
    <xdr:clientData/>
  </xdr:twoCellAnchor>
  <xdr:twoCellAnchor>
    <xdr:from>
      <xdr:col>13</xdr:col>
      <xdr:colOff>23526</xdr:colOff>
      <xdr:row>11</xdr:row>
      <xdr:rowOff>71070</xdr:rowOff>
    </xdr:from>
    <xdr:to>
      <xdr:col>16</xdr:col>
      <xdr:colOff>50958</xdr:colOff>
      <xdr:row>12</xdr:row>
      <xdr:rowOff>184563</xdr:rowOff>
    </xdr:to>
    <xdr:sp macro="" textlink="">
      <xdr:nvSpPr>
        <xdr:cNvPr id="90" name="Rounded Rectangle 89">
          <a:hlinkClick xmlns:r="http://schemas.openxmlformats.org/officeDocument/2006/relationships" r:id="rId30"/>
          <a:extLst>
            <a:ext uri="{FF2B5EF4-FFF2-40B4-BE49-F238E27FC236}">
              <a16:creationId xmlns:a16="http://schemas.microsoft.com/office/drawing/2014/main" id="{00000000-0008-0000-0000-00005A000000}"/>
            </a:ext>
          </a:extLst>
        </xdr:cNvPr>
        <xdr:cNvSpPr/>
      </xdr:nvSpPr>
      <xdr:spPr>
        <a:xfrm>
          <a:off x="7445406" y="2166570"/>
          <a:ext cx="1856232" cy="303993"/>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Version Number/LOCKED</a:t>
          </a:r>
        </a:p>
      </xdr:txBody>
    </xdr:sp>
    <xdr:clientData/>
  </xdr:twoCellAnchor>
  <xdr:twoCellAnchor>
    <xdr:from>
      <xdr:col>13</xdr:col>
      <xdr:colOff>23526</xdr:colOff>
      <xdr:row>13</xdr:row>
      <xdr:rowOff>21316</xdr:rowOff>
    </xdr:from>
    <xdr:to>
      <xdr:col>16</xdr:col>
      <xdr:colOff>50958</xdr:colOff>
      <xdr:row>14</xdr:row>
      <xdr:rowOff>146194</xdr:rowOff>
    </xdr:to>
    <xdr:sp macro="" textlink="">
      <xdr:nvSpPr>
        <xdr:cNvPr id="91" name="Rounded Rectangle 90">
          <a:hlinkClick xmlns:r="http://schemas.openxmlformats.org/officeDocument/2006/relationships" r:id="rId31"/>
          <a:extLst>
            <a:ext uri="{FF2B5EF4-FFF2-40B4-BE49-F238E27FC236}">
              <a16:creationId xmlns:a16="http://schemas.microsoft.com/office/drawing/2014/main" id="{00000000-0008-0000-0000-00005B000000}"/>
            </a:ext>
          </a:extLst>
        </xdr:cNvPr>
        <xdr:cNvSpPr/>
      </xdr:nvSpPr>
      <xdr:spPr>
        <a:xfrm>
          <a:off x="7445406" y="2497816"/>
          <a:ext cx="1856232" cy="315378"/>
        </a:xfrm>
        <a:prstGeom prst="roundRect">
          <a:avLst/>
        </a:prstGeom>
        <a:solidFill>
          <a:srgbClr val="FF5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a:t>Programming</a:t>
          </a:r>
          <a:r>
            <a:rPr lang="en-US" sz="800" baseline="0"/>
            <a:t> Information/Do not Use</a:t>
          </a:r>
          <a:endParaRPr lang="en-US" sz="800"/>
        </a:p>
      </xdr:txBody>
    </xdr:sp>
    <xdr:clientData/>
  </xdr:twoCellAnchor>
  <xdr:twoCellAnchor>
    <xdr:from>
      <xdr:col>5</xdr:col>
      <xdr:colOff>30479</xdr:colOff>
      <xdr:row>13</xdr:row>
      <xdr:rowOff>61935</xdr:rowOff>
    </xdr:from>
    <xdr:to>
      <xdr:col>8</xdr:col>
      <xdr:colOff>57911</xdr:colOff>
      <xdr:row>14</xdr:row>
      <xdr:rowOff>186813</xdr:rowOff>
    </xdr:to>
    <xdr:sp macro="" textlink="">
      <xdr:nvSpPr>
        <xdr:cNvPr id="39" name="Rounded Rectangle 38">
          <a:hlinkClick xmlns:r="http://schemas.openxmlformats.org/officeDocument/2006/relationships" r:id="rId32"/>
          <a:extLst>
            <a:ext uri="{FF2B5EF4-FFF2-40B4-BE49-F238E27FC236}">
              <a16:creationId xmlns:a16="http://schemas.microsoft.com/office/drawing/2014/main" id="{00000000-0008-0000-0000-000027000000}"/>
            </a:ext>
          </a:extLst>
        </xdr:cNvPr>
        <xdr:cNvSpPr/>
      </xdr:nvSpPr>
      <xdr:spPr>
        <a:xfrm>
          <a:off x="2910839" y="2538435"/>
          <a:ext cx="1856232" cy="315378"/>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Menthol</a:t>
          </a:r>
        </a:p>
      </xdr:txBody>
    </xdr:sp>
    <xdr:clientData/>
  </xdr:twoCellAnchor>
  <xdr:twoCellAnchor>
    <xdr:from>
      <xdr:col>0</xdr:col>
      <xdr:colOff>609599</xdr:colOff>
      <xdr:row>13</xdr:row>
      <xdr:rowOff>53179</xdr:rowOff>
    </xdr:from>
    <xdr:to>
      <xdr:col>4</xdr:col>
      <xdr:colOff>27431</xdr:colOff>
      <xdr:row>14</xdr:row>
      <xdr:rowOff>176190</xdr:rowOff>
    </xdr:to>
    <xdr:sp macro="" textlink="">
      <xdr:nvSpPr>
        <xdr:cNvPr id="40" name="Rounded Rectangle 39">
          <a:hlinkClick xmlns:r="http://schemas.openxmlformats.org/officeDocument/2006/relationships" r:id="rId33"/>
          <a:extLst>
            <a:ext uri="{FF2B5EF4-FFF2-40B4-BE49-F238E27FC236}">
              <a16:creationId xmlns:a16="http://schemas.microsoft.com/office/drawing/2014/main" id="{00000000-0008-0000-0000-000028000000}"/>
            </a:ext>
          </a:extLst>
        </xdr:cNvPr>
        <xdr:cNvSpPr/>
      </xdr:nvSpPr>
      <xdr:spPr>
        <a:xfrm>
          <a:off x="609599" y="2529679"/>
          <a:ext cx="1856232" cy="313511"/>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Benzocaine</a:t>
          </a:r>
          <a:endParaRPr lang="en-US" sz="1100">
            <a:solidFill>
              <a:sysClr val="windowText" lastClr="000000"/>
            </a:solidFill>
          </a:endParaRPr>
        </a:p>
      </xdr:txBody>
    </xdr:sp>
    <xdr:clientData/>
  </xdr:twoCellAnchor>
  <xdr:twoCellAnchor>
    <xdr:from>
      <xdr:col>5</xdr:col>
      <xdr:colOff>32720</xdr:colOff>
      <xdr:row>16</xdr:row>
      <xdr:rowOff>183772</xdr:rowOff>
    </xdr:from>
    <xdr:to>
      <xdr:col>8</xdr:col>
      <xdr:colOff>60152</xdr:colOff>
      <xdr:row>18</xdr:row>
      <xdr:rowOff>115909</xdr:rowOff>
    </xdr:to>
    <xdr:sp macro="" textlink="">
      <xdr:nvSpPr>
        <xdr:cNvPr id="41" name="Rounded Rectangle 54">
          <a:hlinkClick xmlns:r="http://schemas.openxmlformats.org/officeDocument/2006/relationships" r:id="rId34"/>
          <a:extLst>
            <a:ext uri="{FF2B5EF4-FFF2-40B4-BE49-F238E27FC236}">
              <a16:creationId xmlns:a16="http://schemas.microsoft.com/office/drawing/2014/main" id="{00000000-0008-0000-0000-000029000000}"/>
            </a:ext>
          </a:extLst>
        </xdr:cNvPr>
        <xdr:cNvSpPr/>
      </xdr:nvSpPr>
      <xdr:spPr>
        <a:xfrm>
          <a:off x="2913080" y="3231772"/>
          <a:ext cx="1856232" cy="313137"/>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Tea Tree Oil</a:t>
          </a:r>
        </a:p>
        <a:p>
          <a:pPr algn="l"/>
          <a:endParaRPr lang="en-US" sz="1100">
            <a:solidFill>
              <a:sysClr val="windowText" lastClr="000000"/>
            </a:solidFill>
          </a:endParaRPr>
        </a:p>
      </xdr:txBody>
    </xdr:sp>
    <xdr:clientData/>
  </xdr:twoCellAnchor>
  <xdr:twoCellAnchor>
    <xdr:from>
      <xdr:col>5</xdr:col>
      <xdr:colOff>30480</xdr:colOff>
      <xdr:row>18</xdr:row>
      <xdr:rowOff>142984</xdr:rowOff>
    </xdr:from>
    <xdr:to>
      <xdr:col>8</xdr:col>
      <xdr:colOff>57912</xdr:colOff>
      <xdr:row>20</xdr:row>
      <xdr:rowOff>77362</xdr:rowOff>
    </xdr:to>
    <xdr:sp macro="" textlink="">
      <xdr:nvSpPr>
        <xdr:cNvPr id="42" name="Rounded Rectangle 41">
          <a:hlinkClick xmlns:r="http://schemas.openxmlformats.org/officeDocument/2006/relationships" r:id="rId35"/>
          <a:extLst>
            <a:ext uri="{FF2B5EF4-FFF2-40B4-BE49-F238E27FC236}">
              <a16:creationId xmlns:a16="http://schemas.microsoft.com/office/drawing/2014/main" id="{00000000-0008-0000-0000-00002A000000}"/>
            </a:ext>
          </a:extLst>
        </xdr:cNvPr>
        <xdr:cNvSpPr/>
      </xdr:nvSpPr>
      <xdr:spPr>
        <a:xfrm>
          <a:off x="2910840" y="3571984"/>
          <a:ext cx="1856232" cy="315378"/>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solidFill>
                <a:sysClr val="windowText" lastClr="000000"/>
              </a:solidFill>
            </a:rPr>
            <a:t>Vitamin A</a:t>
          </a:r>
        </a:p>
      </xdr:txBody>
    </xdr:sp>
    <xdr:clientData/>
  </xdr:twoCellAnchor>
  <xdr:twoCellAnchor>
    <xdr:from>
      <xdr:col>5</xdr:col>
      <xdr:colOff>30480</xdr:colOff>
      <xdr:row>22</xdr:row>
      <xdr:rowOff>65445</xdr:rowOff>
    </xdr:from>
    <xdr:to>
      <xdr:col>8</xdr:col>
      <xdr:colOff>57912</xdr:colOff>
      <xdr:row>23</xdr:row>
      <xdr:rowOff>188082</xdr:rowOff>
    </xdr:to>
    <xdr:sp macro="" textlink="">
      <xdr:nvSpPr>
        <xdr:cNvPr id="43" name="Rounded Rectangle 42">
          <a:hlinkClick xmlns:r="http://schemas.openxmlformats.org/officeDocument/2006/relationships" r:id="rId36"/>
          <a:extLst>
            <a:ext uri="{FF2B5EF4-FFF2-40B4-BE49-F238E27FC236}">
              <a16:creationId xmlns:a16="http://schemas.microsoft.com/office/drawing/2014/main" id="{00000000-0008-0000-0000-00002B000000}"/>
            </a:ext>
          </a:extLst>
        </xdr:cNvPr>
        <xdr:cNvSpPr/>
      </xdr:nvSpPr>
      <xdr:spPr>
        <a:xfrm>
          <a:off x="2910840" y="4256445"/>
          <a:ext cx="1856232" cy="313137"/>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solidFill>
                <a:sysClr val="windowText" lastClr="000000"/>
              </a:solidFill>
            </a:rPr>
            <a:t>Vitamin D </a:t>
          </a:r>
        </a:p>
      </xdr:txBody>
    </xdr:sp>
    <xdr:clientData/>
  </xdr:twoCellAnchor>
  <xdr:twoCellAnchor>
    <xdr:from>
      <xdr:col>5</xdr:col>
      <xdr:colOff>30480</xdr:colOff>
      <xdr:row>20</xdr:row>
      <xdr:rowOff>105335</xdr:rowOff>
    </xdr:from>
    <xdr:to>
      <xdr:col>8</xdr:col>
      <xdr:colOff>57912</xdr:colOff>
      <xdr:row>22</xdr:row>
      <xdr:rowOff>39714</xdr:rowOff>
    </xdr:to>
    <xdr:sp macro="" textlink="">
      <xdr:nvSpPr>
        <xdr:cNvPr id="4" name="Rounded Rectangle 41">
          <a:hlinkClick xmlns:r="http://schemas.openxmlformats.org/officeDocument/2006/relationships" r:id="rId37"/>
          <a:extLst>
            <a:ext uri="{FF2B5EF4-FFF2-40B4-BE49-F238E27FC236}">
              <a16:creationId xmlns:a16="http://schemas.microsoft.com/office/drawing/2014/main" id="{FD5DF6F4-1CB7-4E63-B7A9-17488D913966}"/>
            </a:ext>
          </a:extLst>
        </xdr:cNvPr>
        <xdr:cNvSpPr/>
      </xdr:nvSpPr>
      <xdr:spPr>
        <a:xfrm>
          <a:off x="2910840" y="3915335"/>
          <a:ext cx="1856232" cy="315379"/>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aseline="0">
              <a:solidFill>
                <a:sysClr val="windowText" lastClr="000000"/>
              </a:solidFill>
            </a:rPr>
            <a:t>Retinol -- </a:t>
          </a:r>
          <a:r>
            <a:rPr lang="en-US" sz="800">
              <a:solidFill>
                <a:sysClr val="windowText" lastClr="000000"/>
              </a:solidFill>
            </a:rPr>
            <a:t>Vitamin A Equivalent</a:t>
          </a:r>
        </a:p>
      </xdr:txBody>
    </xdr:sp>
    <xdr:clientData/>
  </xdr:twoCellAnchor>
  <xdr:twoCellAnchor>
    <xdr:from>
      <xdr:col>9</xdr:col>
      <xdr:colOff>22861</xdr:colOff>
      <xdr:row>16</xdr:row>
      <xdr:rowOff>170322</xdr:rowOff>
    </xdr:from>
    <xdr:to>
      <xdr:col>12</xdr:col>
      <xdr:colOff>45272</xdr:colOff>
      <xdr:row>18</xdr:row>
      <xdr:rowOff>102459</xdr:rowOff>
    </xdr:to>
    <xdr:sp macro="" textlink="">
      <xdr:nvSpPr>
        <xdr:cNvPr id="2" name="Rectangle: Rounded Corners 1">
          <a:hlinkClick xmlns:r="http://schemas.openxmlformats.org/officeDocument/2006/relationships" r:id="rId38"/>
          <a:extLst>
            <a:ext uri="{FF2B5EF4-FFF2-40B4-BE49-F238E27FC236}">
              <a16:creationId xmlns:a16="http://schemas.microsoft.com/office/drawing/2014/main" id="{459970F9-B505-8CC2-68C2-55215F925BD7}"/>
            </a:ext>
          </a:extLst>
        </xdr:cNvPr>
        <xdr:cNvSpPr/>
      </xdr:nvSpPr>
      <xdr:spPr>
        <a:xfrm>
          <a:off x="5173981" y="3218322"/>
          <a:ext cx="1851211" cy="313137"/>
        </a:xfrm>
        <a:prstGeom prst="round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kern="1200"/>
            <a:t>NAC Comparison Calculator</a:t>
          </a:r>
        </a:p>
      </xdr:txBody>
    </xdr:sp>
    <xdr:clientData/>
  </xdr:twoCellAnchor>
  <xdr:twoCellAnchor>
    <xdr:from>
      <xdr:col>9</xdr:col>
      <xdr:colOff>24205</xdr:colOff>
      <xdr:row>15</xdr:row>
      <xdr:rowOff>8501</xdr:rowOff>
    </xdr:from>
    <xdr:to>
      <xdr:col>12</xdr:col>
      <xdr:colOff>46616</xdr:colOff>
      <xdr:row>16</xdr:row>
      <xdr:rowOff>133380</xdr:rowOff>
    </xdr:to>
    <xdr:sp macro="" textlink="">
      <xdr:nvSpPr>
        <xdr:cNvPr id="12" name="Rectangle: Rounded Corners 11">
          <a:hlinkClick xmlns:r="http://schemas.openxmlformats.org/officeDocument/2006/relationships" r:id="rId39"/>
          <a:extLst>
            <a:ext uri="{FF2B5EF4-FFF2-40B4-BE49-F238E27FC236}">
              <a16:creationId xmlns:a16="http://schemas.microsoft.com/office/drawing/2014/main" id="{648E785A-1ECD-4D2C-922F-C01A54834BAF}"/>
            </a:ext>
          </a:extLst>
        </xdr:cNvPr>
        <xdr:cNvSpPr/>
      </xdr:nvSpPr>
      <xdr:spPr>
        <a:xfrm>
          <a:off x="5175325" y="2866001"/>
          <a:ext cx="1851211" cy="315379"/>
        </a:xfrm>
        <a:prstGeom prst="roundRect">
          <a:avLst/>
        </a:prstGeom>
        <a:solidFill>
          <a:srgbClr val="CC99FF"/>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a:ln>
                <a:noFill/>
              </a:ln>
              <a:solidFill>
                <a:sysClr val="window" lastClr="FFFFFF"/>
              </a:solidFill>
              <a:effectLst/>
              <a:uLnTx/>
              <a:uFillTx/>
              <a:latin typeface="Calibri" panose="020F0502020204030204"/>
              <a:ea typeface="+mn-ea"/>
              <a:cs typeface="+mn-cs"/>
            </a:rPr>
            <a:t>NEW OPC APAP Nomogram</a:t>
          </a:r>
        </a:p>
      </xdr:txBody>
    </xdr:sp>
    <xdr:clientData/>
  </xdr:twoCellAnchor>
  <xdr:twoCellAnchor editAs="oneCell">
    <xdr:from>
      <xdr:col>8</xdr:col>
      <xdr:colOff>73174</xdr:colOff>
      <xdr:row>13</xdr:row>
      <xdr:rowOff>82976</xdr:rowOff>
    </xdr:from>
    <xdr:to>
      <xdr:col>8</xdr:col>
      <xdr:colOff>411480</xdr:colOff>
      <xdr:row>14</xdr:row>
      <xdr:rowOff>189552</xdr:rowOff>
    </xdr:to>
    <xdr:pic>
      <xdr:nvPicPr>
        <xdr:cNvPr id="8" name="Picture 7">
          <a:extLst>
            <a:ext uri="{FF2B5EF4-FFF2-40B4-BE49-F238E27FC236}">
              <a16:creationId xmlns:a16="http://schemas.microsoft.com/office/drawing/2014/main" id="{5EA778B1-AE48-A9BC-0309-A600535FF73E}"/>
            </a:ext>
          </a:extLst>
        </xdr:cNvPr>
        <xdr:cNvPicPr>
          <a:picLocks noChangeAspect="1"/>
        </xdr:cNvPicPr>
      </xdr:nvPicPr>
      <xdr:blipFill>
        <a:blip xmlns:r="http://schemas.openxmlformats.org/officeDocument/2006/relationships" r:embed="rId40"/>
        <a:stretch>
          <a:fillRect/>
        </a:stretch>
      </xdr:blipFill>
      <xdr:spPr>
        <a:xfrm>
          <a:off x="4782334" y="2559476"/>
          <a:ext cx="338306" cy="297076"/>
        </a:xfrm>
        <a:prstGeom prst="rect">
          <a:avLst/>
        </a:prstGeom>
      </xdr:spPr>
    </xdr:pic>
    <xdr:clientData/>
  </xdr:twoCellAnchor>
  <xdr:twoCellAnchor>
    <xdr:from>
      <xdr:col>0</xdr:col>
      <xdr:colOff>608922</xdr:colOff>
      <xdr:row>11</xdr:row>
      <xdr:rowOff>94138</xdr:rowOff>
    </xdr:from>
    <xdr:to>
      <xdr:col>4</xdr:col>
      <xdr:colOff>26754</xdr:colOff>
      <xdr:row>13</xdr:row>
      <xdr:rowOff>24408</xdr:rowOff>
    </xdr:to>
    <xdr:sp macro="" textlink="">
      <xdr:nvSpPr>
        <xdr:cNvPr id="18" name="Rounded Rectangle 179">
          <a:hlinkClick xmlns:r="http://schemas.openxmlformats.org/officeDocument/2006/relationships" r:id="rId8"/>
          <a:extLst>
            <a:ext uri="{FF2B5EF4-FFF2-40B4-BE49-F238E27FC236}">
              <a16:creationId xmlns:a16="http://schemas.microsoft.com/office/drawing/2014/main" id="{B98E5F3B-1F27-22C5-D9E4-38DEB95D341B}"/>
            </a:ext>
          </a:extLst>
        </xdr:cNvPr>
        <xdr:cNvSpPr/>
      </xdr:nvSpPr>
      <xdr:spPr>
        <a:xfrm>
          <a:off x="608922" y="2189638"/>
          <a:ext cx="1856232" cy="311270"/>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aseline="0">
              <a:solidFill>
                <a:sysClr val="windowText" lastClr="000000"/>
              </a:solidFill>
              <a:latin typeface="+mn-lt"/>
              <a:ea typeface="+mn-ea"/>
              <a:cs typeface="+mn-cs"/>
            </a:rPr>
            <a:t>Bismuth Subsalicylate</a:t>
          </a:r>
        </a:p>
      </xdr:txBody>
    </xdr:sp>
    <xdr:clientData/>
  </xdr:twoCellAnchor>
  <xdr:twoCellAnchor editAs="oneCell">
    <xdr:from>
      <xdr:col>8</xdr:col>
      <xdr:colOff>96034</xdr:colOff>
      <xdr:row>15</xdr:row>
      <xdr:rowOff>52496</xdr:rowOff>
    </xdr:from>
    <xdr:to>
      <xdr:col>8</xdr:col>
      <xdr:colOff>424815</xdr:colOff>
      <xdr:row>16</xdr:row>
      <xdr:rowOff>159072</xdr:rowOff>
    </xdr:to>
    <xdr:pic>
      <xdr:nvPicPr>
        <xdr:cNvPr id="5" name="Picture 4">
          <a:extLst>
            <a:ext uri="{FF2B5EF4-FFF2-40B4-BE49-F238E27FC236}">
              <a16:creationId xmlns:a16="http://schemas.microsoft.com/office/drawing/2014/main" id="{DAA42BDE-59A9-49A9-AF94-1130C2EE182A}"/>
            </a:ext>
          </a:extLst>
        </xdr:cNvPr>
        <xdr:cNvPicPr>
          <a:picLocks noChangeAspect="1"/>
        </xdr:cNvPicPr>
      </xdr:nvPicPr>
      <xdr:blipFill>
        <a:blip xmlns:r="http://schemas.openxmlformats.org/officeDocument/2006/relationships" r:embed="rId40"/>
        <a:stretch>
          <a:fillRect/>
        </a:stretch>
      </xdr:blipFill>
      <xdr:spPr>
        <a:xfrm>
          <a:off x="4805194" y="2909996"/>
          <a:ext cx="338306" cy="2970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301925</xdr:colOff>
      <xdr:row>0</xdr:row>
      <xdr:rowOff>51756</xdr:rowOff>
    </xdr:from>
    <xdr:to>
      <xdr:col>2</xdr:col>
      <xdr:colOff>1009288</xdr:colOff>
      <xdr:row>1</xdr:row>
      <xdr:rowOff>60385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21102" y="241537"/>
          <a:ext cx="1026541" cy="198410"/>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8</xdr:col>
      <xdr:colOff>1099930</xdr:colOff>
      <xdr:row>6</xdr:row>
      <xdr:rowOff>99391</xdr:rowOff>
    </xdr:from>
    <xdr:to>
      <xdr:col>10</xdr:col>
      <xdr:colOff>609600</xdr:colOff>
      <xdr:row>6</xdr:row>
      <xdr:rowOff>99391</xdr:rowOff>
    </xdr:to>
    <xdr:cxnSp macro="">
      <xdr:nvCxnSpPr>
        <xdr:cNvPr id="5" name="Straight Arrow Connector 4">
          <a:extLst>
            <a:ext uri="{FF2B5EF4-FFF2-40B4-BE49-F238E27FC236}">
              <a16:creationId xmlns:a16="http://schemas.microsoft.com/office/drawing/2014/main" id="{61679564-2DE8-4391-AC9A-81176D6D8DE6}"/>
            </a:ext>
          </a:extLst>
        </xdr:cNvPr>
        <xdr:cNvCxnSpPr/>
      </xdr:nvCxnSpPr>
      <xdr:spPr>
        <a:xfrm flipH="1">
          <a:off x="9601200" y="1252330"/>
          <a:ext cx="927652" cy="0"/>
        </a:xfrm>
        <a:prstGeom prst="straightConnector1">
          <a:avLst/>
        </a:prstGeom>
        <a:ln w="19050">
          <a:solidFill>
            <a:schemeClr val="accent6">
              <a:lumMod val="75000"/>
            </a:schemeClr>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310542</xdr:colOff>
      <xdr:row>0</xdr:row>
      <xdr:rowOff>25877</xdr:rowOff>
    </xdr:from>
    <xdr:to>
      <xdr:col>2</xdr:col>
      <xdr:colOff>1052422</xdr:colOff>
      <xdr:row>0</xdr:row>
      <xdr:rowOff>224286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29719" y="215658"/>
          <a:ext cx="1061058" cy="19840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301924</xdr:colOff>
      <xdr:row>0</xdr:row>
      <xdr:rowOff>60382</xdr:rowOff>
    </xdr:from>
    <xdr:to>
      <xdr:col>2</xdr:col>
      <xdr:colOff>1026538</xdr:colOff>
      <xdr:row>1</xdr:row>
      <xdr:rowOff>17253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29728" y="250163"/>
          <a:ext cx="1043791" cy="198411"/>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0</xdr:colOff>
      <xdr:row>11</xdr:row>
      <xdr:rowOff>93785</xdr:rowOff>
    </xdr:from>
    <xdr:to>
      <xdr:col>6</xdr:col>
      <xdr:colOff>0</xdr:colOff>
      <xdr:row>11</xdr:row>
      <xdr:rowOff>93785</xdr:rowOff>
    </xdr:to>
    <xdr:cxnSp macro="">
      <xdr:nvCxnSpPr>
        <xdr:cNvPr id="4" name="Straight Arrow Connector 3">
          <a:extLst>
            <a:ext uri="{FF2B5EF4-FFF2-40B4-BE49-F238E27FC236}">
              <a16:creationId xmlns:a16="http://schemas.microsoft.com/office/drawing/2014/main" id="{82500D07-3678-4FCF-9789-A10A9FDE8891}"/>
            </a:ext>
          </a:extLst>
        </xdr:cNvPr>
        <xdr:cNvCxnSpPr/>
      </xdr:nvCxnSpPr>
      <xdr:spPr>
        <a:xfrm flipH="1">
          <a:off x="3657600" y="2274277"/>
          <a:ext cx="920262" cy="0"/>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5862</xdr:colOff>
      <xdr:row>9</xdr:row>
      <xdr:rowOff>105507</xdr:rowOff>
    </xdr:from>
    <xdr:to>
      <xdr:col>6</xdr:col>
      <xdr:colOff>0</xdr:colOff>
      <xdr:row>9</xdr:row>
      <xdr:rowOff>105507</xdr:rowOff>
    </xdr:to>
    <xdr:cxnSp macro="">
      <xdr:nvCxnSpPr>
        <xdr:cNvPr id="5" name="Straight Arrow Connector 4">
          <a:extLst>
            <a:ext uri="{FF2B5EF4-FFF2-40B4-BE49-F238E27FC236}">
              <a16:creationId xmlns:a16="http://schemas.microsoft.com/office/drawing/2014/main" id="{5E961695-ECB4-4FE3-BE82-66EB1425C9CE}"/>
            </a:ext>
          </a:extLst>
        </xdr:cNvPr>
        <xdr:cNvCxnSpPr/>
      </xdr:nvCxnSpPr>
      <xdr:spPr>
        <a:xfrm flipH="1">
          <a:off x="3663462" y="1899138"/>
          <a:ext cx="914400" cy="0"/>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310551</xdr:colOff>
      <xdr:row>0</xdr:row>
      <xdr:rowOff>25878</xdr:rowOff>
    </xdr:from>
    <xdr:to>
      <xdr:col>2</xdr:col>
      <xdr:colOff>1026896</xdr:colOff>
      <xdr:row>0</xdr:row>
      <xdr:rowOff>241539</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a:xfrm>
          <a:off x="621102" y="215659"/>
          <a:ext cx="1035522" cy="215661"/>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3</xdr:col>
      <xdr:colOff>914400</xdr:colOff>
      <xdr:row>8</xdr:row>
      <xdr:rowOff>92765</xdr:rowOff>
    </xdr:from>
    <xdr:to>
      <xdr:col>6</xdr:col>
      <xdr:colOff>3313</xdr:colOff>
      <xdr:row>8</xdr:row>
      <xdr:rowOff>99392</xdr:rowOff>
    </xdr:to>
    <xdr:cxnSp macro="">
      <xdr:nvCxnSpPr>
        <xdr:cNvPr id="3" name="Straight Arrow Connector 2">
          <a:extLst>
            <a:ext uri="{FF2B5EF4-FFF2-40B4-BE49-F238E27FC236}">
              <a16:creationId xmlns:a16="http://schemas.microsoft.com/office/drawing/2014/main" id="{8875E270-25CF-45D2-AD5E-B00205B901A6}"/>
            </a:ext>
          </a:extLst>
        </xdr:cNvPr>
        <xdr:cNvCxnSpPr/>
      </xdr:nvCxnSpPr>
      <xdr:spPr>
        <a:xfrm flipH="1">
          <a:off x="3823252" y="1861930"/>
          <a:ext cx="619539" cy="6627"/>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907774</xdr:colOff>
      <xdr:row>9</xdr:row>
      <xdr:rowOff>99391</xdr:rowOff>
    </xdr:from>
    <xdr:to>
      <xdr:col>6</xdr:col>
      <xdr:colOff>2319</xdr:colOff>
      <xdr:row>9</xdr:row>
      <xdr:rowOff>99392</xdr:rowOff>
    </xdr:to>
    <xdr:cxnSp macro="">
      <xdr:nvCxnSpPr>
        <xdr:cNvPr id="5" name="Straight Arrow Connector 4">
          <a:extLst>
            <a:ext uri="{FF2B5EF4-FFF2-40B4-BE49-F238E27FC236}">
              <a16:creationId xmlns:a16="http://schemas.microsoft.com/office/drawing/2014/main" id="{30E56266-C1D7-418C-B8D0-83CBA7FA2905}"/>
            </a:ext>
          </a:extLst>
        </xdr:cNvPr>
        <xdr:cNvCxnSpPr/>
      </xdr:nvCxnSpPr>
      <xdr:spPr>
        <a:xfrm flipH="1" flipV="1">
          <a:off x="3816626" y="2060713"/>
          <a:ext cx="625171" cy="1"/>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10</xdr:row>
      <xdr:rowOff>99391</xdr:rowOff>
    </xdr:from>
    <xdr:to>
      <xdr:col>6</xdr:col>
      <xdr:colOff>2319</xdr:colOff>
      <xdr:row>10</xdr:row>
      <xdr:rowOff>99392</xdr:rowOff>
    </xdr:to>
    <xdr:cxnSp macro="">
      <xdr:nvCxnSpPr>
        <xdr:cNvPr id="7" name="Straight Arrow Connector 6">
          <a:extLst>
            <a:ext uri="{FF2B5EF4-FFF2-40B4-BE49-F238E27FC236}">
              <a16:creationId xmlns:a16="http://schemas.microsoft.com/office/drawing/2014/main" id="{4C1D916B-2BFC-4F38-9BEE-DFDB48F270E3}"/>
            </a:ext>
          </a:extLst>
        </xdr:cNvPr>
        <xdr:cNvCxnSpPr/>
      </xdr:nvCxnSpPr>
      <xdr:spPr>
        <a:xfrm flipH="1">
          <a:off x="3829878" y="2252869"/>
          <a:ext cx="611919" cy="1"/>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12</xdr:row>
      <xdr:rowOff>92765</xdr:rowOff>
    </xdr:from>
    <xdr:to>
      <xdr:col>5</xdr:col>
      <xdr:colOff>543339</xdr:colOff>
      <xdr:row>12</xdr:row>
      <xdr:rowOff>99392</xdr:rowOff>
    </xdr:to>
    <xdr:cxnSp macro="">
      <xdr:nvCxnSpPr>
        <xdr:cNvPr id="8" name="Straight Arrow Connector 7">
          <a:extLst>
            <a:ext uri="{FF2B5EF4-FFF2-40B4-BE49-F238E27FC236}">
              <a16:creationId xmlns:a16="http://schemas.microsoft.com/office/drawing/2014/main" id="{9D61B084-D877-48F7-89F8-DEC15CE4E487}"/>
            </a:ext>
          </a:extLst>
        </xdr:cNvPr>
        <xdr:cNvCxnSpPr/>
      </xdr:nvCxnSpPr>
      <xdr:spPr>
        <a:xfrm flipH="1">
          <a:off x="3829879" y="2445026"/>
          <a:ext cx="848138" cy="6627"/>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310544</xdr:colOff>
      <xdr:row>0</xdr:row>
      <xdr:rowOff>43129</xdr:rowOff>
    </xdr:from>
    <xdr:to>
      <xdr:col>2</xdr:col>
      <xdr:colOff>957532</xdr:colOff>
      <xdr:row>1</xdr:row>
      <xdr:rowOff>8626</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29721" y="224284"/>
          <a:ext cx="966166" cy="146651"/>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000" b="0" cap="none" spc="0">
              <a:ln>
                <a:noFill/>
              </a:ln>
              <a:solidFill>
                <a:schemeClr val="tx1">
                  <a:lumMod val="75000"/>
                  <a:lumOff val="25000"/>
                </a:schemeClr>
              </a:solidFill>
              <a:effectLst/>
            </a:rPr>
            <a:t>Back to Index</a:t>
          </a:r>
        </a:p>
      </xdr:txBody>
    </xdr:sp>
    <xdr:clientData/>
  </xdr:twoCellAnchor>
  <xdr:twoCellAnchor>
    <xdr:from>
      <xdr:col>4</xdr:col>
      <xdr:colOff>0</xdr:colOff>
      <xdr:row>11</xdr:row>
      <xdr:rowOff>79513</xdr:rowOff>
    </xdr:from>
    <xdr:to>
      <xdr:col>5</xdr:col>
      <xdr:colOff>583096</xdr:colOff>
      <xdr:row>11</xdr:row>
      <xdr:rowOff>82827</xdr:rowOff>
    </xdr:to>
    <xdr:cxnSp macro="">
      <xdr:nvCxnSpPr>
        <xdr:cNvPr id="4" name="Straight Arrow Connector 3">
          <a:extLst>
            <a:ext uri="{FF2B5EF4-FFF2-40B4-BE49-F238E27FC236}">
              <a16:creationId xmlns:a16="http://schemas.microsoft.com/office/drawing/2014/main" id="{C63FC466-4295-4F87-AAE0-61D25494684F}"/>
            </a:ext>
          </a:extLst>
        </xdr:cNvPr>
        <xdr:cNvCxnSpPr/>
      </xdr:nvCxnSpPr>
      <xdr:spPr>
        <a:xfrm flipH="1">
          <a:off x="4200939" y="2226365"/>
          <a:ext cx="887896" cy="3314"/>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301924</xdr:colOff>
      <xdr:row>1</xdr:row>
      <xdr:rowOff>60382</xdr:rowOff>
    </xdr:from>
    <xdr:to>
      <xdr:col>2</xdr:col>
      <xdr:colOff>1026538</xdr:colOff>
      <xdr:row>2</xdr:row>
      <xdr:rowOff>17253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629728" y="250163"/>
          <a:ext cx="1043791" cy="198411"/>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6626</xdr:colOff>
      <xdr:row>10</xdr:row>
      <xdr:rowOff>86140</xdr:rowOff>
    </xdr:from>
    <xdr:to>
      <xdr:col>5</xdr:col>
      <xdr:colOff>609600</xdr:colOff>
      <xdr:row>10</xdr:row>
      <xdr:rowOff>92766</xdr:rowOff>
    </xdr:to>
    <xdr:cxnSp macro="">
      <xdr:nvCxnSpPr>
        <xdr:cNvPr id="3" name="Straight Arrow Connector 2">
          <a:extLst>
            <a:ext uri="{FF2B5EF4-FFF2-40B4-BE49-F238E27FC236}">
              <a16:creationId xmlns:a16="http://schemas.microsoft.com/office/drawing/2014/main" id="{3F3A2002-D76D-4E5D-B36F-6D18100886EF}"/>
            </a:ext>
          </a:extLst>
        </xdr:cNvPr>
        <xdr:cNvCxnSpPr/>
      </xdr:nvCxnSpPr>
      <xdr:spPr>
        <a:xfrm flipH="1" flipV="1">
          <a:off x="3896139" y="1868557"/>
          <a:ext cx="907774" cy="6626"/>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8281</xdr:colOff>
      <xdr:row>12</xdr:row>
      <xdr:rowOff>105762</xdr:rowOff>
    </xdr:from>
    <xdr:to>
      <xdr:col>6</xdr:col>
      <xdr:colOff>6626</xdr:colOff>
      <xdr:row>12</xdr:row>
      <xdr:rowOff>106018</xdr:rowOff>
    </xdr:to>
    <xdr:cxnSp macro="">
      <xdr:nvCxnSpPr>
        <xdr:cNvPr id="4" name="Straight Arrow Connector 3">
          <a:extLst>
            <a:ext uri="{FF2B5EF4-FFF2-40B4-BE49-F238E27FC236}">
              <a16:creationId xmlns:a16="http://schemas.microsoft.com/office/drawing/2014/main" id="{CBCCC8AE-2A4A-424F-87F2-98400A75006A}"/>
            </a:ext>
          </a:extLst>
        </xdr:cNvPr>
        <xdr:cNvCxnSpPr/>
      </xdr:nvCxnSpPr>
      <xdr:spPr>
        <a:xfrm flipH="1" flipV="1">
          <a:off x="3897794" y="2272492"/>
          <a:ext cx="919371" cy="256"/>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310551</xdr:colOff>
      <xdr:row>1</xdr:row>
      <xdr:rowOff>25878</xdr:rowOff>
    </xdr:from>
    <xdr:to>
      <xdr:col>2</xdr:col>
      <xdr:colOff>1026896</xdr:colOff>
      <xdr:row>1</xdr:row>
      <xdr:rowOff>241539</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F00-000009000000}"/>
            </a:ext>
          </a:extLst>
        </xdr:cNvPr>
        <xdr:cNvSpPr/>
      </xdr:nvSpPr>
      <xdr:spPr>
        <a:xfrm>
          <a:off x="621102" y="215659"/>
          <a:ext cx="1035522" cy="215661"/>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3</xdr:col>
      <xdr:colOff>819978</xdr:colOff>
      <xdr:row>8</xdr:row>
      <xdr:rowOff>99391</xdr:rowOff>
    </xdr:from>
    <xdr:to>
      <xdr:col>6</xdr:col>
      <xdr:colOff>0</xdr:colOff>
      <xdr:row>8</xdr:row>
      <xdr:rowOff>99391</xdr:rowOff>
    </xdr:to>
    <xdr:cxnSp macro="">
      <xdr:nvCxnSpPr>
        <xdr:cNvPr id="3" name="Straight Arrow Connector 2">
          <a:extLst>
            <a:ext uri="{FF2B5EF4-FFF2-40B4-BE49-F238E27FC236}">
              <a16:creationId xmlns:a16="http://schemas.microsoft.com/office/drawing/2014/main" id="{EAA74693-3233-4D3F-8372-223B1722FE8B}"/>
            </a:ext>
          </a:extLst>
        </xdr:cNvPr>
        <xdr:cNvCxnSpPr/>
      </xdr:nvCxnSpPr>
      <xdr:spPr>
        <a:xfrm flipH="1">
          <a:off x="4191000" y="1524000"/>
          <a:ext cx="604630" cy="0"/>
        </a:xfrm>
        <a:prstGeom prst="straightConnector1">
          <a:avLst/>
        </a:prstGeom>
        <a:ln w="19050">
          <a:solidFill>
            <a:schemeClr val="accent6">
              <a:lumMod val="75000"/>
            </a:schemeClr>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3</xdr:col>
      <xdr:colOff>651676</xdr:colOff>
      <xdr:row>9</xdr:row>
      <xdr:rowOff>99391</xdr:rowOff>
    </xdr:from>
    <xdr:to>
      <xdr:col>6</xdr:col>
      <xdr:colOff>0</xdr:colOff>
      <xdr:row>9</xdr:row>
      <xdr:rowOff>99391</xdr:rowOff>
    </xdr:to>
    <xdr:cxnSp macro="">
      <xdr:nvCxnSpPr>
        <xdr:cNvPr id="6" name="Straight Arrow Connector 5">
          <a:extLst>
            <a:ext uri="{FF2B5EF4-FFF2-40B4-BE49-F238E27FC236}">
              <a16:creationId xmlns:a16="http://schemas.microsoft.com/office/drawing/2014/main" id="{3DAABC47-E6F3-4D0A-894E-2BF9010589E8}"/>
            </a:ext>
          </a:extLst>
        </xdr:cNvPr>
        <xdr:cNvCxnSpPr/>
      </xdr:nvCxnSpPr>
      <xdr:spPr>
        <a:xfrm flipH="1">
          <a:off x="3898459" y="1689652"/>
          <a:ext cx="613906" cy="0"/>
        </a:xfrm>
        <a:prstGeom prst="straightConnector1">
          <a:avLst/>
        </a:prstGeom>
        <a:ln w="19050">
          <a:solidFill>
            <a:schemeClr val="accent6">
              <a:lumMod val="75000"/>
            </a:schemeClr>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3</xdr:col>
      <xdr:colOff>654327</xdr:colOff>
      <xdr:row>10</xdr:row>
      <xdr:rowOff>86140</xdr:rowOff>
    </xdr:from>
    <xdr:to>
      <xdr:col>6</xdr:col>
      <xdr:colOff>0</xdr:colOff>
      <xdr:row>10</xdr:row>
      <xdr:rowOff>91107</xdr:rowOff>
    </xdr:to>
    <xdr:cxnSp macro="">
      <xdr:nvCxnSpPr>
        <xdr:cNvPr id="7" name="Straight Arrow Connector 6">
          <a:extLst>
            <a:ext uri="{FF2B5EF4-FFF2-40B4-BE49-F238E27FC236}">
              <a16:creationId xmlns:a16="http://schemas.microsoft.com/office/drawing/2014/main" id="{D85E5894-5005-4303-80FD-7EF85AB8E567}"/>
            </a:ext>
          </a:extLst>
        </xdr:cNvPr>
        <xdr:cNvCxnSpPr/>
      </xdr:nvCxnSpPr>
      <xdr:spPr>
        <a:xfrm flipH="1">
          <a:off x="3901110" y="1868557"/>
          <a:ext cx="611255" cy="4967"/>
        </a:xfrm>
        <a:prstGeom prst="straightConnector1">
          <a:avLst/>
        </a:prstGeom>
        <a:ln w="19050">
          <a:solidFill>
            <a:schemeClr val="accent6">
              <a:lumMod val="75000"/>
            </a:schemeClr>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12</xdr:col>
      <xdr:colOff>6626</xdr:colOff>
      <xdr:row>8</xdr:row>
      <xdr:rowOff>139148</xdr:rowOff>
    </xdr:from>
    <xdr:to>
      <xdr:col>14</xdr:col>
      <xdr:colOff>0</xdr:colOff>
      <xdr:row>8</xdr:row>
      <xdr:rowOff>139148</xdr:rowOff>
    </xdr:to>
    <xdr:cxnSp macro="">
      <xdr:nvCxnSpPr>
        <xdr:cNvPr id="8" name="Straight Arrow Connector 7">
          <a:extLst>
            <a:ext uri="{FF2B5EF4-FFF2-40B4-BE49-F238E27FC236}">
              <a16:creationId xmlns:a16="http://schemas.microsoft.com/office/drawing/2014/main" id="{2DAAB8A9-F135-43B4-9007-DCD868DE0AD6}"/>
            </a:ext>
          </a:extLst>
        </xdr:cNvPr>
        <xdr:cNvCxnSpPr/>
      </xdr:nvCxnSpPr>
      <xdr:spPr>
        <a:xfrm flipH="1">
          <a:off x="9826487" y="1537252"/>
          <a:ext cx="602974" cy="0"/>
        </a:xfrm>
        <a:prstGeom prst="straightConnector1">
          <a:avLst/>
        </a:prstGeom>
        <a:ln w="19050">
          <a:solidFill>
            <a:schemeClr val="accent6">
              <a:lumMod val="75000"/>
            </a:schemeClr>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12</xdr:col>
      <xdr:colOff>0</xdr:colOff>
      <xdr:row>9</xdr:row>
      <xdr:rowOff>99391</xdr:rowOff>
    </xdr:from>
    <xdr:to>
      <xdr:col>14</xdr:col>
      <xdr:colOff>0</xdr:colOff>
      <xdr:row>9</xdr:row>
      <xdr:rowOff>99391</xdr:rowOff>
    </xdr:to>
    <xdr:cxnSp macro="">
      <xdr:nvCxnSpPr>
        <xdr:cNvPr id="11" name="Straight Arrow Connector 10">
          <a:extLst>
            <a:ext uri="{FF2B5EF4-FFF2-40B4-BE49-F238E27FC236}">
              <a16:creationId xmlns:a16="http://schemas.microsoft.com/office/drawing/2014/main" id="{145527EC-A429-44BE-8D42-217A24A53310}"/>
            </a:ext>
          </a:extLst>
        </xdr:cNvPr>
        <xdr:cNvCxnSpPr/>
      </xdr:nvCxnSpPr>
      <xdr:spPr>
        <a:xfrm flipH="1">
          <a:off x="9819861" y="1689652"/>
          <a:ext cx="609600" cy="0"/>
        </a:xfrm>
        <a:prstGeom prst="straightConnector1">
          <a:avLst/>
        </a:prstGeom>
        <a:ln w="19050">
          <a:solidFill>
            <a:schemeClr val="accent6">
              <a:lumMod val="75000"/>
            </a:schemeClr>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12</xdr:col>
      <xdr:colOff>0</xdr:colOff>
      <xdr:row>10</xdr:row>
      <xdr:rowOff>72887</xdr:rowOff>
    </xdr:from>
    <xdr:to>
      <xdr:col>14</xdr:col>
      <xdr:colOff>1325</xdr:colOff>
      <xdr:row>10</xdr:row>
      <xdr:rowOff>74543</xdr:rowOff>
    </xdr:to>
    <xdr:cxnSp macro="">
      <xdr:nvCxnSpPr>
        <xdr:cNvPr id="12" name="Straight Arrow Connector 11">
          <a:extLst>
            <a:ext uri="{FF2B5EF4-FFF2-40B4-BE49-F238E27FC236}">
              <a16:creationId xmlns:a16="http://schemas.microsoft.com/office/drawing/2014/main" id="{FFCC5165-4F25-4436-B9E2-9D1788065884}"/>
            </a:ext>
          </a:extLst>
        </xdr:cNvPr>
        <xdr:cNvCxnSpPr/>
      </xdr:nvCxnSpPr>
      <xdr:spPr>
        <a:xfrm flipH="1" flipV="1">
          <a:off x="9819861" y="1855304"/>
          <a:ext cx="610925" cy="1656"/>
        </a:xfrm>
        <a:prstGeom prst="straightConnector1">
          <a:avLst/>
        </a:prstGeom>
        <a:ln w="19050">
          <a:solidFill>
            <a:schemeClr val="accent6">
              <a:lumMod val="75000"/>
            </a:schemeClr>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3</xdr:col>
      <xdr:colOff>819978</xdr:colOff>
      <xdr:row>11</xdr:row>
      <xdr:rowOff>99391</xdr:rowOff>
    </xdr:from>
    <xdr:to>
      <xdr:col>6</xdr:col>
      <xdr:colOff>0</xdr:colOff>
      <xdr:row>11</xdr:row>
      <xdr:rowOff>99391</xdr:rowOff>
    </xdr:to>
    <xdr:cxnSp macro="">
      <xdr:nvCxnSpPr>
        <xdr:cNvPr id="2" name="Straight Arrow Connector 1">
          <a:extLst>
            <a:ext uri="{FF2B5EF4-FFF2-40B4-BE49-F238E27FC236}">
              <a16:creationId xmlns:a16="http://schemas.microsoft.com/office/drawing/2014/main" id="{8F990FA8-372D-459E-ADB1-E0E8979C8342}"/>
            </a:ext>
          </a:extLst>
        </xdr:cNvPr>
        <xdr:cNvCxnSpPr/>
      </xdr:nvCxnSpPr>
      <xdr:spPr>
        <a:xfrm flipH="1">
          <a:off x="4191000" y="2319130"/>
          <a:ext cx="604630" cy="0"/>
        </a:xfrm>
        <a:prstGeom prst="straightConnector1">
          <a:avLst/>
        </a:prstGeom>
        <a:ln w="19050">
          <a:solidFill>
            <a:schemeClr val="accent6">
              <a:lumMod val="75000"/>
            </a:schemeClr>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editAs="oneCell">
    <xdr:from>
      <xdr:col>0</xdr:col>
      <xdr:colOff>182217</xdr:colOff>
      <xdr:row>10</xdr:row>
      <xdr:rowOff>157369</xdr:rowOff>
    </xdr:from>
    <xdr:to>
      <xdr:col>1</xdr:col>
      <xdr:colOff>240195</xdr:colOff>
      <xdr:row>12</xdr:row>
      <xdr:rowOff>78381</xdr:rowOff>
    </xdr:to>
    <xdr:pic>
      <xdr:nvPicPr>
        <xdr:cNvPr id="17" name="Picture 16">
          <a:extLst>
            <a:ext uri="{FF2B5EF4-FFF2-40B4-BE49-F238E27FC236}">
              <a16:creationId xmlns:a16="http://schemas.microsoft.com/office/drawing/2014/main" id="{5E159B11-4489-4B76-B0FC-11911DAE125E}"/>
            </a:ext>
          </a:extLst>
        </xdr:cNvPr>
        <xdr:cNvPicPr>
          <a:picLocks noChangeAspect="1"/>
        </xdr:cNvPicPr>
      </xdr:nvPicPr>
      <xdr:blipFill>
        <a:blip xmlns:r="http://schemas.openxmlformats.org/officeDocument/2006/relationships" r:embed="rId2"/>
        <a:stretch>
          <a:fillRect/>
        </a:stretch>
      </xdr:blipFill>
      <xdr:spPr>
        <a:xfrm>
          <a:off x="182217" y="2178326"/>
          <a:ext cx="356152" cy="31857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310551</xdr:colOff>
      <xdr:row>1</xdr:row>
      <xdr:rowOff>43129</xdr:rowOff>
    </xdr:from>
    <xdr:to>
      <xdr:col>2</xdr:col>
      <xdr:colOff>992038</xdr:colOff>
      <xdr:row>2</xdr:row>
      <xdr:rowOff>8627</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638355" y="224284"/>
          <a:ext cx="1000664" cy="207037"/>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3</xdr:col>
      <xdr:colOff>927652</xdr:colOff>
      <xdr:row>12</xdr:row>
      <xdr:rowOff>99391</xdr:rowOff>
    </xdr:from>
    <xdr:to>
      <xdr:col>5</xdr:col>
      <xdr:colOff>687456</xdr:colOff>
      <xdr:row>12</xdr:row>
      <xdr:rowOff>99391</xdr:rowOff>
    </xdr:to>
    <xdr:cxnSp macro="">
      <xdr:nvCxnSpPr>
        <xdr:cNvPr id="4" name="Straight Arrow Connector 3">
          <a:extLst>
            <a:ext uri="{FF2B5EF4-FFF2-40B4-BE49-F238E27FC236}">
              <a16:creationId xmlns:a16="http://schemas.microsoft.com/office/drawing/2014/main" id="{BF1B9644-AB20-4DB3-9A82-8F08426DEABF}"/>
            </a:ext>
          </a:extLst>
        </xdr:cNvPr>
        <xdr:cNvCxnSpPr/>
      </xdr:nvCxnSpPr>
      <xdr:spPr>
        <a:xfrm flipH="1">
          <a:off x="3752022" y="2236304"/>
          <a:ext cx="1002195" cy="0"/>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17249</xdr:colOff>
      <xdr:row>0</xdr:row>
      <xdr:rowOff>34504</xdr:rowOff>
    </xdr:from>
    <xdr:to>
      <xdr:col>2</xdr:col>
      <xdr:colOff>1026540</xdr:colOff>
      <xdr:row>0</xdr:row>
      <xdr:rowOff>232912</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595219" y="224285"/>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17249</xdr:colOff>
      <xdr:row>0</xdr:row>
      <xdr:rowOff>34504</xdr:rowOff>
    </xdr:from>
    <xdr:to>
      <xdr:col>2</xdr:col>
      <xdr:colOff>1026540</xdr:colOff>
      <xdr:row>0</xdr:row>
      <xdr:rowOff>232912</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595219" y="224285"/>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3</xdr:col>
      <xdr:colOff>1060174</xdr:colOff>
      <xdr:row>6</xdr:row>
      <xdr:rowOff>99391</xdr:rowOff>
    </xdr:from>
    <xdr:to>
      <xdr:col>5</xdr:col>
      <xdr:colOff>579782</xdr:colOff>
      <xdr:row>6</xdr:row>
      <xdr:rowOff>99391</xdr:rowOff>
    </xdr:to>
    <xdr:cxnSp macro="">
      <xdr:nvCxnSpPr>
        <xdr:cNvPr id="6" name="Straight Arrow Connector 5">
          <a:extLst>
            <a:ext uri="{FF2B5EF4-FFF2-40B4-BE49-F238E27FC236}">
              <a16:creationId xmlns:a16="http://schemas.microsoft.com/office/drawing/2014/main" id="{851A4CA7-FE0B-49AD-B1F9-35DE28131D18}"/>
            </a:ext>
          </a:extLst>
        </xdr:cNvPr>
        <xdr:cNvCxnSpPr/>
      </xdr:nvCxnSpPr>
      <xdr:spPr>
        <a:xfrm flipH="1">
          <a:off x="3992217" y="1292087"/>
          <a:ext cx="894522" cy="0"/>
        </a:xfrm>
        <a:prstGeom prst="straightConnector1">
          <a:avLst/>
        </a:prstGeom>
        <a:ln w="19050">
          <a:solidFill>
            <a:schemeClr val="accent6">
              <a:lumMod val="75000"/>
            </a:schemeClr>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0</xdr:colOff>
      <xdr:row>7</xdr:row>
      <xdr:rowOff>115957</xdr:rowOff>
    </xdr:from>
    <xdr:to>
      <xdr:col>13</xdr:col>
      <xdr:colOff>278295</xdr:colOff>
      <xdr:row>7</xdr:row>
      <xdr:rowOff>125896</xdr:rowOff>
    </xdr:to>
    <xdr:cxnSp macro="">
      <xdr:nvCxnSpPr>
        <xdr:cNvPr id="7" name="Straight Arrow Connector 6">
          <a:extLst>
            <a:ext uri="{FF2B5EF4-FFF2-40B4-BE49-F238E27FC236}">
              <a16:creationId xmlns:a16="http://schemas.microsoft.com/office/drawing/2014/main" id="{661919A4-D907-477C-94EA-10615890B94B}"/>
            </a:ext>
          </a:extLst>
        </xdr:cNvPr>
        <xdr:cNvCxnSpPr/>
      </xdr:nvCxnSpPr>
      <xdr:spPr>
        <a:xfrm flipH="1" flipV="1">
          <a:off x="9892748" y="1514061"/>
          <a:ext cx="583095" cy="9939"/>
        </a:xfrm>
        <a:prstGeom prst="straightConnector1">
          <a:avLst/>
        </a:prstGeom>
        <a:ln w="19050">
          <a:solidFill>
            <a:schemeClr val="accent6">
              <a:lumMod val="75000"/>
            </a:schemeClr>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0</xdr:colOff>
      <xdr:row>6</xdr:row>
      <xdr:rowOff>92766</xdr:rowOff>
    </xdr:from>
    <xdr:to>
      <xdr:col>14</xdr:col>
      <xdr:colOff>0</xdr:colOff>
      <xdr:row>6</xdr:row>
      <xdr:rowOff>92766</xdr:rowOff>
    </xdr:to>
    <xdr:cxnSp macro="">
      <xdr:nvCxnSpPr>
        <xdr:cNvPr id="9" name="Straight Arrow Connector 8">
          <a:extLst>
            <a:ext uri="{FF2B5EF4-FFF2-40B4-BE49-F238E27FC236}">
              <a16:creationId xmlns:a16="http://schemas.microsoft.com/office/drawing/2014/main" id="{BB374006-FE11-49FA-B8A8-B38CF11CAC9F}"/>
            </a:ext>
          </a:extLst>
        </xdr:cNvPr>
        <xdr:cNvCxnSpPr/>
      </xdr:nvCxnSpPr>
      <xdr:spPr>
        <a:xfrm flipH="1">
          <a:off x="4121426" y="4618383"/>
          <a:ext cx="556591" cy="0"/>
        </a:xfrm>
        <a:prstGeom prst="straightConnector1">
          <a:avLst/>
        </a:prstGeom>
        <a:ln w="19050">
          <a:solidFill>
            <a:schemeClr val="accent6">
              <a:lumMod val="75000"/>
            </a:schemeClr>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17249</xdr:colOff>
      <xdr:row>1</xdr:row>
      <xdr:rowOff>34504</xdr:rowOff>
    </xdr:from>
    <xdr:to>
      <xdr:col>2</xdr:col>
      <xdr:colOff>1026540</xdr:colOff>
      <xdr:row>1</xdr:row>
      <xdr:rowOff>232912</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595219" y="224285"/>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17249</xdr:colOff>
      <xdr:row>1</xdr:row>
      <xdr:rowOff>34504</xdr:rowOff>
    </xdr:from>
    <xdr:to>
      <xdr:col>2</xdr:col>
      <xdr:colOff>1026540</xdr:colOff>
      <xdr:row>1</xdr:row>
      <xdr:rowOff>232912</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595219" y="224285"/>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17249</xdr:colOff>
      <xdr:row>1</xdr:row>
      <xdr:rowOff>34504</xdr:rowOff>
    </xdr:from>
    <xdr:to>
      <xdr:col>2</xdr:col>
      <xdr:colOff>1026540</xdr:colOff>
      <xdr:row>1</xdr:row>
      <xdr:rowOff>232912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1200-000005000000}"/>
            </a:ext>
          </a:extLst>
        </xdr:cNvPr>
        <xdr:cNvSpPr/>
      </xdr:nvSpPr>
      <xdr:spPr>
        <a:xfrm>
          <a:off x="612472" y="6297281"/>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17249</xdr:colOff>
      <xdr:row>1</xdr:row>
      <xdr:rowOff>34503</xdr:rowOff>
    </xdr:from>
    <xdr:to>
      <xdr:col>2</xdr:col>
      <xdr:colOff>1061049</xdr:colOff>
      <xdr:row>2</xdr:row>
      <xdr:rowOff>43131</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1200-000006000000}"/>
            </a:ext>
          </a:extLst>
        </xdr:cNvPr>
        <xdr:cNvSpPr/>
      </xdr:nvSpPr>
      <xdr:spPr>
        <a:xfrm>
          <a:off x="612472" y="224284"/>
          <a:ext cx="1043800" cy="19840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17249</xdr:colOff>
      <xdr:row>0</xdr:row>
      <xdr:rowOff>34504</xdr:rowOff>
    </xdr:from>
    <xdr:to>
      <xdr:col>2</xdr:col>
      <xdr:colOff>1026540</xdr:colOff>
      <xdr:row>0</xdr:row>
      <xdr:rowOff>232912</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12472" y="215659"/>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17249</xdr:colOff>
      <xdr:row>0</xdr:row>
      <xdr:rowOff>34504</xdr:rowOff>
    </xdr:from>
    <xdr:to>
      <xdr:col>2</xdr:col>
      <xdr:colOff>1026540</xdr:colOff>
      <xdr:row>0</xdr:row>
      <xdr:rowOff>232912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595219" y="6323161"/>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12</xdr:col>
      <xdr:colOff>154131</xdr:colOff>
      <xdr:row>6</xdr:row>
      <xdr:rowOff>24245</xdr:rowOff>
    </xdr:from>
    <xdr:to>
      <xdr:col>12</xdr:col>
      <xdr:colOff>2382982</xdr:colOff>
      <xdr:row>9</xdr:row>
      <xdr:rowOff>102177</xdr:rowOff>
    </xdr:to>
    <xdr:sp macro="" textlink="">
      <xdr:nvSpPr>
        <xdr:cNvPr id="12" name="TextBox 11">
          <a:extLst>
            <a:ext uri="{FF2B5EF4-FFF2-40B4-BE49-F238E27FC236}">
              <a16:creationId xmlns:a16="http://schemas.microsoft.com/office/drawing/2014/main" id="{C8CF3582-93A1-4F14-AC94-9E502C244D46}"/>
            </a:ext>
          </a:extLst>
        </xdr:cNvPr>
        <xdr:cNvSpPr txBox="1"/>
      </xdr:nvSpPr>
      <xdr:spPr>
        <a:xfrm>
          <a:off x="8362949" y="1236518"/>
          <a:ext cx="2228851" cy="659823"/>
        </a:xfrm>
        <a:prstGeom prst="rect">
          <a:avLst/>
        </a:prstGeom>
        <a:solidFill>
          <a:schemeClr val="lt1"/>
        </a:solidFill>
        <a:ln w="1905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rgbClr val="FF0000"/>
              </a:solidFill>
            </a:rPr>
            <a:t>NOTE: The Usual Formulations are:</a:t>
          </a:r>
        </a:p>
        <a:p>
          <a:r>
            <a:rPr lang="en-CA" sz="1100"/>
            <a:t>160 mg/5 mL = 32 mg/mL</a:t>
          </a:r>
        </a:p>
        <a:p>
          <a:r>
            <a:rPr lang="en-CA" sz="1100"/>
            <a:t>80 mg/mL </a:t>
          </a:r>
        </a:p>
      </xdr:txBody>
    </xdr:sp>
    <xdr:clientData/>
  </xdr:twoCellAnchor>
  <xdr:twoCellAnchor>
    <xdr:from>
      <xdr:col>11</xdr:col>
      <xdr:colOff>0</xdr:colOff>
      <xdr:row>6</xdr:row>
      <xdr:rowOff>90054</xdr:rowOff>
    </xdr:from>
    <xdr:to>
      <xdr:col>12</xdr:col>
      <xdr:colOff>152400</xdr:colOff>
      <xdr:row>6</xdr:row>
      <xdr:rowOff>90054</xdr:rowOff>
    </xdr:to>
    <xdr:cxnSp macro="">
      <xdr:nvCxnSpPr>
        <xdr:cNvPr id="14" name="Straight Arrow Connector 13">
          <a:extLst>
            <a:ext uri="{FF2B5EF4-FFF2-40B4-BE49-F238E27FC236}">
              <a16:creationId xmlns:a16="http://schemas.microsoft.com/office/drawing/2014/main" id="{BF72304A-F9AA-4D38-9FD3-B5DF710C24B4}"/>
            </a:ext>
          </a:extLst>
        </xdr:cNvPr>
        <xdr:cNvCxnSpPr/>
      </xdr:nvCxnSpPr>
      <xdr:spPr>
        <a:xfrm flipH="1">
          <a:off x="11388436" y="1302327"/>
          <a:ext cx="457200" cy="0"/>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310544</xdr:colOff>
      <xdr:row>1</xdr:row>
      <xdr:rowOff>43129</xdr:rowOff>
    </xdr:from>
    <xdr:to>
      <xdr:col>2</xdr:col>
      <xdr:colOff>966158</xdr:colOff>
      <xdr:row>2</xdr:row>
      <xdr:rowOff>60385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03843" y="224284"/>
          <a:ext cx="966164" cy="198410"/>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6626</xdr:colOff>
      <xdr:row>12</xdr:row>
      <xdr:rowOff>92765</xdr:rowOff>
    </xdr:from>
    <xdr:to>
      <xdr:col>5</xdr:col>
      <xdr:colOff>609600</xdr:colOff>
      <xdr:row>12</xdr:row>
      <xdr:rowOff>92765</xdr:rowOff>
    </xdr:to>
    <xdr:cxnSp macro="">
      <xdr:nvCxnSpPr>
        <xdr:cNvPr id="3" name="Straight Arrow Connector 2">
          <a:extLst>
            <a:ext uri="{FF2B5EF4-FFF2-40B4-BE49-F238E27FC236}">
              <a16:creationId xmlns:a16="http://schemas.microsoft.com/office/drawing/2014/main" id="{EE55AC20-B629-4EBA-A093-0059A70598F3}"/>
            </a:ext>
          </a:extLst>
        </xdr:cNvPr>
        <xdr:cNvCxnSpPr/>
      </xdr:nvCxnSpPr>
      <xdr:spPr>
        <a:xfrm flipH="1">
          <a:off x="3763617" y="2166730"/>
          <a:ext cx="907774" cy="0"/>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17249</xdr:colOff>
      <xdr:row>0</xdr:row>
      <xdr:rowOff>34504</xdr:rowOff>
    </xdr:from>
    <xdr:to>
      <xdr:col>2</xdr:col>
      <xdr:colOff>1026540</xdr:colOff>
      <xdr:row>0</xdr:row>
      <xdr:rowOff>232912</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612472" y="224285"/>
          <a:ext cx="1009291" cy="155276"/>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17249</xdr:colOff>
      <xdr:row>0</xdr:row>
      <xdr:rowOff>34504</xdr:rowOff>
    </xdr:from>
    <xdr:to>
      <xdr:col>2</xdr:col>
      <xdr:colOff>1026540</xdr:colOff>
      <xdr:row>0</xdr:row>
      <xdr:rowOff>232912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1400-000005000000}"/>
            </a:ext>
          </a:extLst>
        </xdr:cNvPr>
        <xdr:cNvSpPr/>
      </xdr:nvSpPr>
      <xdr:spPr>
        <a:xfrm>
          <a:off x="612472" y="224285"/>
          <a:ext cx="1009291" cy="155276"/>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17249</xdr:colOff>
      <xdr:row>0</xdr:row>
      <xdr:rowOff>34504</xdr:rowOff>
    </xdr:from>
    <xdr:to>
      <xdr:col>2</xdr:col>
      <xdr:colOff>1026540</xdr:colOff>
      <xdr:row>0</xdr:row>
      <xdr:rowOff>232912</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1400-000006000000}"/>
            </a:ext>
          </a:extLst>
        </xdr:cNvPr>
        <xdr:cNvSpPr/>
      </xdr:nvSpPr>
      <xdr:spPr>
        <a:xfrm>
          <a:off x="612472" y="224285"/>
          <a:ext cx="1009291" cy="155276"/>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17249</xdr:colOff>
      <xdr:row>0</xdr:row>
      <xdr:rowOff>34503</xdr:rowOff>
    </xdr:from>
    <xdr:to>
      <xdr:col>2</xdr:col>
      <xdr:colOff>1026543</xdr:colOff>
      <xdr:row>1</xdr:row>
      <xdr:rowOff>43131</xdr:rowOff>
    </xdr:to>
    <xdr:sp macro="" textlink="">
      <xdr:nvSpPr>
        <xdr:cNvPr id="7" name="Rounded Rectangle 6">
          <a:hlinkClick xmlns:r="http://schemas.openxmlformats.org/officeDocument/2006/relationships" r:id="rId1"/>
          <a:extLst>
            <a:ext uri="{FF2B5EF4-FFF2-40B4-BE49-F238E27FC236}">
              <a16:creationId xmlns:a16="http://schemas.microsoft.com/office/drawing/2014/main" id="{00000000-0008-0000-1400-000007000000}"/>
            </a:ext>
          </a:extLst>
        </xdr:cNvPr>
        <xdr:cNvSpPr/>
      </xdr:nvSpPr>
      <xdr:spPr>
        <a:xfrm>
          <a:off x="655604" y="215658"/>
          <a:ext cx="1009294" cy="19840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0</xdr:colOff>
      <xdr:row>7</xdr:row>
      <xdr:rowOff>106018</xdr:rowOff>
    </xdr:from>
    <xdr:to>
      <xdr:col>6</xdr:col>
      <xdr:colOff>6626</xdr:colOff>
      <xdr:row>7</xdr:row>
      <xdr:rowOff>107674</xdr:rowOff>
    </xdr:to>
    <xdr:cxnSp macro="">
      <xdr:nvCxnSpPr>
        <xdr:cNvPr id="3" name="Straight Arrow Connector 2">
          <a:extLst>
            <a:ext uri="{FF2B5EF4-FFF2-40B4-BE49-F238E27FC236}">
              <a16:creationId xmlns:a16="http://schemas.microsoft.com/office/drawing/2014/main" id="{56BF6BFB-6646-42F1-9DA4-324D8C7D9069}"/>
            </a:ext>
          </a:extLst>
        </xdr:cNvPr>
        <xdr:cNvCxnSpPr/>
      </xdr:nvCxnSpPr>
      <xdr:spPr>
        <a:xfrm flipH="1">
          <a:off x="4306957" y="1431235"/>
          <a:ext cx="755373" cy="1656"/>
        </a:xfrm>
        <a:prstGeom prst="straightConnector1">
          <a:avLst/>
        </a:prstGeom>
        <a:ln w="19050">
          <a:solidFill>
            <a:schemeClr val="accent6">
              <a:lumMod val="75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310544</xdr:colOff>
      <xdr:row>0</xdr:row>
      <xdr:rowOff>43129</xdr:rowOff>
    </xdr:from>
    <xdr:to>
      <xdr:col>2</xdr:col>
      <xdr:colOff>957532</xdr:colOff>
      <xdr:row>1</xdr:row>
      <xdr:rowOff>8626</xdr:rowOff>
    </xdr:to>
    <xdr:sp macro="" textlink="">
      <xdr:nvSpPr>
        <xdr:cNvPr id="2" name="Rounded Rectangle 2">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882044" y="224104"/>
          <a:ext cx="961313" cy="203622"/>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3</xdr:col>
      <xdr:colOff>1199322</xdr:colOff>
      <xdr:row>11</xdr:row>
      <xdr:rowOff>99391</xdr:rowOff>
    </xdr:from>
    <xdr:to>
      <xdr:col>5</xdr:col>
      <xdr:colOff>607944</xdr:colOff>
      <xdr:row>11</xdr:row>
      <xdr:rowOff>99391</xdr:rowOff>
    </xdr:to>
    <xdr:cxnSp macro="">
      <xdr:nvCxnSpPr>
        <xdr:cNvPr id="3" name="Straight Arrow Connector 2">
          <a:extLst>
            <a:ext uri="{FF2B5EF4-FFF2-40B4-BE49-F238E27FC236}">
              <a16:creationId xmlns:a16="http://schemas.microsoft.com/office/drawing/2014/main" id="{D18EF271-0AA9-4F55-B84B-5006F189C773}"/>
            </a:ext>
          </a:extLst>
        </xdr:cNvPr>
        <xdr:cNvCxnSpPr/>
      </xdr:nvCxnSpPr>
      <xdr:spPr>
        <a:xfrm flipH="1">
          <a:off x="4611757" y="2206487"/>
          <a:ext cx="919370" cy="0"/>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301925</xdr:colOff>
      <xdr:row>0</xdr:row>
      <xdr:rowOff>51756</xdr:rowOff>
    </xdr:from>
    <xdr:to>
      <xdr:col>2</xdr:col>
      <xdr:colOff>1009288</xdr:colOff>
      <xdr:row>1</xdr:row>
      <xdr:rowOff>60385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587675" y="242256"/>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1600-000005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1600-00000D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16" name="Rounded Rectangle 15">
          <a:hlinkClick xmlns:r="http://schemas.openxmlformats.org/officeDocument/2006/relationships" r:id="rId1"/>
          <a:extLst>
            <a:ext uri="{FF2B5EF4-FFF2-40B4-BE49-F238E27FC236}">
              <a16:creationId xmlns:a16="http://schemas.microsoft.com/office/drawing/2014/main" id="{00000000-0008-0000-1600-000010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19" name="Rounded Rectangle 18">
          <a:hlinkClick xmlns:r="http://schemas.openxmlformats.org/officeDocument/2006/relationships" r:id="rId1"/>
          <a:extLst>
            <a:ext uri="{FF2B5EF4-FFF2-40B4-BE49-F238E27FC236}">
              <a16:creationId xmlns:a16="http://schemas.microsoft.com/office/drawing/2014/main" id="{00000000-0008-0000-1600-000013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25" name="Rounded Rectangle 24">
          <a:hlinkClick xmlns:r="http://schemas.openxmlformats.org/officeDocument/2006/relationships" r:id="rId1"/>
          <a:extLst>
            <a:ext uri="{FF2B5EF4-FFF2-40B4-BE49-F238E27FC236}">
              <a16:creationId xmlns:a16="http://schemas.microsoft.com/office/drawing/2014/main" id="{00000000-0008-0000-1600-000019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26" name="Rounded Rectangle 25">
          <a:hlinkClick xmlns:r="http://schemas.openxmlformats.org/officeDocument/2006/relationships" r:id="rId1"/>
          <a:extLst>
            <a:ext uri="{FF2B5EF4-FFF2-40B4-BE49-F238E27FC236}">
              <a16:creationId xmlns:a16="http://schemas.microsoft.com/office/drawing/2014/main" id="{00000000-0008-0000-1600-00001A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29" name="Rounded Rectangle 28">
          <a:hlinkClick xmlns:r="http://schemas.openxmlformats.org/officeDocument/2006/relationships" r:id="rId1"/>
          <a:extLst>
            <a:ext uri="{FF2B5EF4-FFF2-40B4-BE49-F238E27FC236}">
              <a16:creationId xmlns:a16="http://schemas.microsoft.com/office/drawing/2014/main" id="{00000000-0008-0000-1600-00001D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15</xdr:col>
      <xdr:colOff>0</xdr:colOff>
      <xdr:row>5</xdr:row>
      <xdr:rowOff>86139</xdr:rowOff>
    </xdr:from>
    <xdr:to>
      <xdr:col>17</xdr:col>
      <xdr:colOff>0</xdr:colOff>
      <xdr:row>5</xdr:row>
      <xdr:rowOff>91108</xdr:rowOff>
    </xdr:to>
    <xdr:cxnSp macro="">
      <xdr:nvCxnSpPr>
        <xdr:cNvPr id="4" name="Straight Arrow Connector 3">
          <a:extLst>
            <a:ext uri="{FF2B5EF4-FFF2-40B4-BE49-F238E27FC236}">
              <a16:creationId xmlns:a16="http://schemas.microsoft.com/office/drawing/2014/main" id="{34ABB1F8-E61B-41D8-AD8E-82E30017AA8C}"/>
            </a:ext>
          </a:extLst>
        </xdr:cNvPr>
        <xdr:cNvCxnSpPr/>
      </xdr:nvCxnSpPr>
      <xdr:spPr>
        <a:xfrm flipH="1" flipV="1">
          <a:off x="12264887" y="1298713"/>
          <a:ext cx="622852" cy="4969"/>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6</xdr:row>
      <xdr:rowOff>107674</xdr:rowOff>
    </xdr:from>
    <xdr:to>
      <xdr:col>7</xdr:col>
      <xdr:colOff>0</xdr:colOff>
      <xdr:row>6</xdr:row>
      <xdr:rowOff>107674</xdr:rowOff>
    </xdr:to>
    <xdr:cxnSp macro="">
      <xdr:nvCxnSpPr>
        <xdr:cNvPr id="35" name="Straight Arrow Connector 34">
          <a:extLst>
            <a:ext uri="{FF2B5EF4-FFF2-40B4-BE49-F238E27FC236}">
              <a16:creationId xmlns:a16="http://schemas.microsoft.com/office/drawing/2014/main" id="{F9FFA9B1-AAFD-4A2C-9469-18245FC919D3}"/>
            </a:ext>
          </a:extLst>
        </xdr:cNvPr>
        <xdr:cNvCxnSpPr/>
      </xdr:nvCxnSpPr>
      <xdr:spPr>
        <a:xfrm flipH="1">
          <a:off x="4704522" y="1341783"/>
          <a:ext cx="861391" cy="0"/>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17249</xdr:colOff>
      <xdr:row>0</xdr:row>
      <xdr:rowOff>34504</xdr:rowOff>
    </xdr:from>
    <xdr:to>
      <xdr:col>2</xdr:col>
      <xdr:colOff>1026540</xdr:colOff>
      <xdr:row>0</xdr:row>
      <xdr:rowOff>232912</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B0B0A09E-0D0D-4D4B-B2E9-2538B7C1BD0B}"/>
            </a:ext>
          </a:extLst>
        </xdr:cNvPr>
        <xdr:cNvSpPr/>
      </xdr:nvSpPr>
      <xdr:spPr>
        <a:xfrm>
          <a:off x="541124" y="225004"/>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301925</xdr:colOff>
      <xdr:row>0</xdr:row>
      <xdr:rowOff>51756</xdr:rowOff>
    </xdr:from>
    <xdr:to>
      <xdr:col>2</xdr:col>
      <xdr:colOff>1009288</xdr:colOff>
      <xdr:row>1</xdr:row>
      <xdr:rowOff>60385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1700-000005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11" name="Rounded Rectangle 10">
          <a:hlinkClick xmlns:r="http://schemas.openxmlformats.org/officeDocument/2006/relationships" r:id="rId1"/>
          <a:extLst>
            <a:ext uri="{FF2B5EF4-FFF2-40B4-BE49-F238E27FC236}">
              <a16:creationId xmlns:a16="http://schemas.microsoft.com/office/drawing/2014/main" id="{00000000-0008-0000-1700-00000B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12" name="Rounded Rectangle 11">
          <a:hlinkClick xmlns:r="http://schemas.openxmlformats.org/officeDocument/2006/relationships" r:id="rId1"/>
          <a:extLst>
            <a:ext uri="{FF2B5EF4-FFF2-40B4-BE49-F238E27FC236}">
              <a16:creationId xmlns:a16="http://schemas.microsoft.com/office/drawing/2014/main" id="{00000000-0008-0000-1700-00000C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15" name="Rounded Rectangle 14">
          <a:hlinkClick xmlns:r="http://schemas.openxmlformats.org/officeDocument/2006/relationships" r:id="rId1"/>
          <a:extLst>
            <a:ext uri="{FF2B5EF4-FFF2-40B4-BE49-F238E27FC236}">
              <a16:creationId xmlns:a16="http://schemas.microsoft.com/office/drawing/2014/main" id="{00000000-0008-0000-1700-00000F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21" name="Rounded Rectangle 20">
          <a:hlinkClick xmlns:r="http://schemas.openxmlformats.org/officeDocument/2006/relationships" r:id="rId1"/>
          <a:extLst>
            <a:ext uri="{FF2B5EF4-FFF2-40B4-BE49-F238E27FC236}">
              <a16:creationId xmlns:a16="http://schemas.microsoft.com/office/drawing/2014/main" id="{00000000-0008-0000-1700-000015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22" name="Rounded Rectangle 21">
          <a:hlinkClick xmlns:r="http://schemas.openxmlformats.org/officeDocument/2006/relationships" r:id="rId1"/>
          <a:extLst>
            <a:ext uri="{FF2B5EF4-FFF2-40B4-BE49-F238E27FC236}">
              <a16:creationId xmlns:a16="http://schemas.microsoft.com/office/drawing/2014/main" id="{00000000-0008-0000-1700-000016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301925</xdr:colOff>
      <xdr:row>0</xdr:row>
      <xdr:rowOff>51756</xdr:rowOff>
    </xdr:from>
    <xdr:to>
      <xdr:col>2</xdr:col>
      <xdr:colOff>1009288</xdr:colOff>
      <xdr:row>1</xdr:row>
      <xdr:rowOff>60385</xdr:rowOff>
    </xdr:to>
    <xdr:sp macro="" textlink="">
      <xdr:nvSpPr>
        <xdr:cNvPr id="25" name="Rounded Rectangle 24">
          <a:hlinkClick xmlns:r="http://schemas.openxmlformats.org/officeDocument/2006/relationships" r:id="rId1"/>
          <a:extLst>
            <a:ext uri="{FF2B5EF4-FFF2-40B4-BE49-F238E27FC236}">
              <a16:creationId xmlns:a16="http://schemas.microsoft.com/office/drawing/2014/main" id="{00000000-0008-0000-1700-000019000000}"/>
            </a:ext>
          </a:extLst>
        </xdr:cNvPr>
        <xdr:cNvSpPr/>
      </xdr:nvSpPr>
      <xdr:spPr>
        <a:xfrm>
          <a:off x="587675" y="251781"/>
          <a:ext cx="1012163" cy="19912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11</xdr:col>
      <xdr:colOff>876300</xdr:colOff>
      <xdr:row>5</xdr:row>
      <xdr:rowOff>104775</xdr:rowOff>
    </xdr:from>
    <xdr:to>
      <xdr:col>14</xdr:col>
      <xdr:colOff>0</xdr:colOff>
      <xdr:row>5</xdr:row>
      <xdr:rowOff>114300</xdr:rowOff>
    </xdr:to>
    <xdr:cxnSp macro="">
      <xdr:nvCxnSpPr>
        <xdr:cNvPr id="4" name="Straight Arrow Connector 3">
          <a:extLst>
            <a:ext uri="{FF2B5EF4-FFF2-40B4-BE49-F238E27FC236}">
              <a16:creationId xmlns:a16="http://schemas.microsoft.com/office/drawing/2014/main" id="{A59C3920-3C7B-4F10-848D-B439A0D11988}"/>
            </a:ext>
          </a:extLst>
        </xdr:cNvPr>
        <xdr:cNvCxnSpPr/>
      </xdr:nvCxnSpPr>
      <xdr:spPr>
        <a:xfrm flipH="1" flipV="1">
          <a:off x="5562600" y="6181725"/>
          <a:ext cx="1247775" cy="9525"/>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310546</xdr:colOff>
      <xdr:row>0</xdr:row>
      <xdr:rowOff>69008</xdr:rowOff>
    </xdr:from>
    <xdr:to>
      <xdr:col>2</xdr:col>
      <xdr:colOff>1000659</xdr:colOff>
      <xdr:row>1</xdr:row>
      <xdr:rowOff>17251</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629723" y="293295"/>
          <a:ext cx="1009291" cy="189782"/>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0</xdr:colOff>
      <xdr:row>11</xdr:row>
      <xdr:rowOff>92766</xdr:rowOff>
    </xdr:from>
    <xdr:to>
      <xdr:col>5</xdr:col>
      <xdr:colOff>609600</xdr:colOff>
      <xdr:row>11</xdr:row>
      <xdr:rowOff>95250</xdr:rowOff>
    </xdr:to>
    <xdr:cxnSp macro="">
      <xdr:nvCxnSpPr>
        <xdr:cNvPr id="3" name="Straight Arrow Connector 2">
          <a:extLst>
            <a:ext uri="{FF2B5EF4-FFF2-40B4-BE49-F238E27FC236}">
              <a16:creationId xmlns:a16="http://schemas.microsoft.com/office/drawing/2014/main" id="{14BFCF05-5719-4F07-B114-E0665CE1CC34}"/>
            </a:ext>
          </a:extLst>
        </xdr:cNvPr>
        <xdr:cNvCxnSpPr/>
      </xdr:nvCxnSpPr>
      <xdr:spPr>
        <a:xfrm flipH="1">
          <a:off x="5062330" y="2259496"/>
          <a:ext cx="914400" cy="2484"/>
        </a:xfrm>
        <a:prstGeom prst="straightConnector1">
          <a:avLst/>
        </a:prstGeom>
        <a:ln w="19050">
          <a:solidFill>
            <a:schemeClr val="accent6">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301924</xdr:colOff>
      <xdr:row>0</xdr:row>
      <xdr:rowOff>60382</xdr:rowOff>
    </xdr:from>
    <xdr:to>
      <xdr:col>2</xdr:col>
      <xdr:colOff>1026538</xdr:colOff>
      <xdr:row>1</xdr:row>
      <xdr:rowOff>17253</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1900-000005000000}"/>
            </a:ext>
          </a:extLst>
        </xdr:cNvPr>
        <xdr:cNvSpPr/>
      </xdr:nvSpPr>
      <xdr:spPr>
        <a:xfrm>
          <a:off x="629728" y="284669"/>
          <a:ext cx="1043791" cy="198410"/>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6626</xdr:colOff>
      <xdr:row>11</xdr:row>
      <xdr:rowOff>95250</xdr:rowOff>
    </xdr:from>
    <xdr:to>
      <xdr:col>6</xdr:col>
      <xdr:colOff>0</xdr:colOff>
      <xdr:row>11</xdr:row>
      <xdr:rowOff>99392</xdr:rowOff>
    </xdr:to>
    <xdr:cxnSp macro="">
      <xdr:nvCxnSpPr>
        <xdr:cNvPr id="3" name="Straight Arrow Connector 2">
          <a:extLst>
            <a:ext uri="{FF2B5EF4-FFF2-40B4-BE49-F238E27FC236}">
              <a16:creationId xmlns:a16="http://schemas.microsoft.com/office/drawing/2014/main" id="{40713D81-F765-483A-954B-50EC58F91D36}"/>
            </a:ext>
          </a:extLst>
        </xdr:cNvPr>
        <xdr:cNvCxnSpPr/>
      </xdr:nvCxnSpPr>
      <xdr:spPr>
        <a:xfrm flipH="1">
          <a:off x="4585252" y="2261980"/>
          <a:ext cx="914400" cy="4142"/>
        </a:xfrm>
        <a:prstGeom prst="straightConnector1">
          <a:avLst/>
        </a:prstGeom>
        <a:ln w="19050">
          <a:solidFill>
            <a:schemeClr val="accent6">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17249</xdr:colOff>
      <xdr:row>0</xdr:row>
      <xdr:rowOff>34504</xdr:rowOff>
    </xdr:from>
    <xdr:to>
      <xdr:col>2</xdr:col>
      <xdr:colOff>1026540</xdr:colOff>
      <xdr:row>0</xdr:row>
      <xdr:rowOff>232912</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595219" y="224285"/>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17249</xdr:colOff>
      <xdr:row>0</xdr:row>
      <xdr:rowOff>34504</xdr:rowOff>
    </xdr:from>
    <xdr:to>
      <xdr:col>2</xdr:col>
      <xdr:colOff>1026540</xdr:colOff>
      <xdr:row>0</xdr:row>
      <xdr:rowOff>232912</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1A00-000004000000}"/>
            </a:ext>
          </a:extLst>
        </xdr:cNvPr>
        <xdr:cNvSpPr/>
      </xdr:nvSpPr>
      <xdr:spPr>
        <a:xfrm>
          <a:off x="595219" y="224285"/>
          <a:ext cx="1009291"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9</xdr:col>
      <xdr:colOff>0</xdr:colOff>
      <xdr:row>6</xdr:row>
      <xdr:rowOff>74543</xdr:rowOff>
    </xdr:from>
    <xdr:to>
      <xdr:col>10</xdr:col>
      <xdr:colOff>579783</xdr:colOff>
      <xdr:row>6</xdr:row>
      <xdr:rowOff>74543</xdr:rowOff>
    </xdr:to>
    <xdr:cxnSp macro="">
      <xdr:nvCxnSpPr>
        <xdr:cNvPr id="6" name="Straight Arrow Connector 5">
          <a:extLst>
            <a:ext uri="{FF2B5EF4-FFF2-40B4-BE49-F238E27FC236}">
              <a16:creationId xmlns:a16="http://schemas.microsoft.com/office/drawing/2014/main" id="{D056D09D-E9A0-4E1B-841E-A3D9A25254A0}"/>
            </a:ext>
          </a:extLst>
        </xdr:cNvPr>
        <xdr:cNvCxnSpPr/>
      </xdr:nvCxnSpPr>
      <xdr:spPr>
        <a:xfrm flipH="1">
          <a:off x="7702826" y="1267239"/>
          <a:ext cx="877957" cy="0"/>
        </a:xfrm>
        <a:prstGeom prst="straightConnector1">
          <a:avLst/>
        </a:prstGeom>
        <a:ln w="19050">
          <a:solidFill>
            <a:schemeClr val="accent6">
              <a:lumMod val="75000"/>
            </a:schemeClr>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310550</xdr:colOff>
      <xdr:row>0</xdr:row>
      <xdr:rowOff>25878</xdr:rowOff>
    </xdr:from>
    <xdr:to>
      <xdr:col>2</xdr:col>
      <xdr:colOff>1052424</xdr:colOff>
      <xdr:row>1</xdr:row>
      <xdr:rowOff>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03848" y="215659"/>
          <a:ext cx="1061051" cy="215662"/>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35209</xdr:colOff>
      <xdr:row>0</xdr:row>
      <xdr:rowOff>35208</xdr:rowOff>
    </xdr:from>
    <xdr:to>
      <xdr:col>2</xdr:col>
      <xdr:colOff>1062105</xdr:colOff>
      <xdr:row>0</xdr:row>
      <xdr:rowOff>233616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68987" y="228862"/>
          <a:ext cx="1026896"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3</xdr:col>
      <xdr:colOff>824345</xdr:colOff>
      <xdr:row>10</xdr:row>
      <xdr:rowOff>96982</xdr:rowOff>
    </xdr:from>
    <xdr:to>
      <xdr:col>5</xdr:col>
      <xdr:colOff>505691</xdr:colOff>
      <xdr:row>10</xdr:row>
      <xdr:rowOff>96982</xdr:rowOff>
    </xdr:to>
    <xdr:cxnSp macro="">
      <xdr:nvCxnSpPr>
        <xdr:cNvPr id="5" name="Straight Arrow Connector 4">
          <a:extLst>
            <a:ext uri="{FF2B5EF4-FFF2-40B4-BE49-F238E27FC236}">
              <a16:creationId xmlns:a16="http://schemas.microsoft.com/office/drawing/2014/main" id="{D09F2EDC-EC35-46FE-B9FB-2E59EC446126}"/>
            </a:ext>
          </a:extLst>
        </xdr:cNvPr>
        <xdr:cNvCxnSpPr/>
      </xdr:nvCxnSpPr>
      <xdr:spPr>
        <a:xfrm flipH="1">
          <a:off x="4073236" y="2085109"/>
          <a:ext cx="838200" cy="0"/>
        </a:xfrm>
        <a:prstGeom prst="straightConnector1">
          <a:avLst/>
        </a:prstGeom>
        <a:ln w="19050">
          <a:solidFill>
            <a:schemeClr val="accent6">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0</xdr:colOff>
      <xdr:row>13</xdr:row>
      <xdr:rowOff>90055</xdr:rowOff>
    </xdr:from>
    <xdr:to>
      <xdr:col>6</xdr:col>
      <xdr:colOff>0</xdr:colOff>
      <xdr:row>13</xdr:row>
      <xdr:rowOff>96982</xdr:rowOff>
    </xdr:to>
    <xdr:cxnSp macro="">
      <xdr:nvCxnSpPr>
        <xdr:cNvPr id="10" name="Straight Arrow Connector 9">
          <a:extLst>
            <a:ext uri="{FF2B5EF4-FFF2-40B4-BE49-F238E27FC236}">
              <a16:creationId xmlns:a16="http://schemas.microsoft.com/office/drawing/2014/main" id="{3755555A-851E-48A1-82A3-B3BD577442BB}"/>
            </a:ext>
          </a:extLst>
        </xdr:cNvPr>
        <xdr:cNvCxnSpPr/>
      </xdr:nvCxnSpPr>
      <xdr:spPr>
        <a:xfrm flipH="1">
          <a:off x="4100945" y="2660073"/>
          <a:ext cx="817419" cy="6927"/>
        </a:xfrm>
        <a:prstGeom prst="straightConnector1">
          <a:avLst/>
        </a:prstGeom>
        <a:ln w="19050">
          <a:solidFill>
            <a:schemeClr val="accent6">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8624</xdr:colOff>
      <xdr:row>0</xdr:row>
      <xdr:rowOff>34504</xdr:rowOff>
    </xdr:from>
    <xdr:to>
      <xdr:col>2</xdr:col>
      <xdr:colOff>1026544</xdr:colOff>
      <xdr:row>1</xdr:row>
      <xdr:rowOff>25879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646979" y="276044"/>
          <a:ext cx="1017920" cy="232914"/>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11</xdr:col>
      <xdr:colOff>161926</xdr:colOff>
      <xdr:row>2</xdr:row>
      <xdr:rowOff>28576</xdr:rowOff>
    </xdr:from>
    <xdr:to>
      <xdr:col>13</xdr:col>
      <xdr:colOff>276225</xdr:colOff>
      <xdr:row>6</xdr:row>
      <xdr:rowOff>9525</xdr:rowOff>
    </xdr:to>
    <xdr:sp macro="" textlink="">
      <xdr:nvSpPr>
        <xdr:cNvPr id="4" name="TextBox 3">
          <a:extLst>
            <a:ext uri="{FF2B5EF4-FFF2-40B4-BE49-F238E27FC236}">
              <a16:creationId xmlns:a16="http://schemas.microsoft.com/office/drawing/2014/main" id="{681939E4-79E0-4352-86B9-4612E0B425DD}"/>
            </a:ext>
          </a:extLst>
        </xdr:cNvPr>
        <xdr:cNvSpPr txBox="1"/>
      </xdr:nvSpPr>
      <xdr:spPr>
        <a:xfrm>
          <a:off x="15849601" y="276226"/>
          <a:ext cx="1333499" cy="771524"/>
        </a:xfrm>
        <a:prstGeom prst="rect">
          <a:avLst/>
        </a:prstGeom>
        <a:solidFill>
          <a:schemeClr val="lt1"/>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ysClr val="windowText" lastClr="000000"/>
              </a:solidFill>
            </a:rPr>
            <a:t>Until Methanol Level is negligible &amp; acidosis resolved</a:t>
          </a:r>
        </a:p>
      </xdr:txBody>
    </xdr:sp>
    <xdr:clientData/>
  </xdr:twoCellAnchor>
  <xdr:twoCellAnchor>
    <xdr:from>
      <xdr:col>10</xdr:col>
      <xdr:colOff>0</xdr:colOff>
      <xdr:row>5</xdr:row>
      <xdr:rowOff>182880</xdr:rowOff>
    </xdr:from>
    <xdr:to>
      <xdr:col>11</xdr:col>
      <xdr:colOff>161926</xdr:colOff>
      <xdr:row>5</xdr:row>
      <xdr:rowOff>182881</xdr:rowOff>
    </xdr:to>
    <xdr:cxnSp macro="">
      <xdr:nvCxnSpPr>
        <xdr:cNvPr id="6" name="Straight Arrow Connector 5">
          <a:extLst>
            <a:ext uri="{FF2B5EF4-FFF2-40B4-BE49-F238E27FC236}">
              <a16:creationId xmlns:a16="http://schemas.microsoft.com/office/drawing/2014/main" id="{46911039-A9CD-498C-BBEC-946A3E74F634}"/>
            </a:ext>
          </a:extLst>
        </xdr:cNvPr>
        <xdr:cNvCxnSpPr>
          <a:stCxn id="4" idx="1"/>
        </xdr:cNvCxnSpPr>
      </xdr:nvCxnSpPr>
      <xdr:spPr>
        <a:xfrm flipH="1" flipV="1">
          <a:off x="15361920" y="670560"/>
          <a:ext cx="466726" cy="1"/>
        </a:xfrm>
        <a:prstGeom prst="straightConnector1">
          <a:avLst/>
        </a:prstGeom>
        <a:ln w="190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310536</xdr:colOff>
      <xdr:row>0</xdr:row>
      <xdr:rowOff>34504</xdr:rowOff>
    </xdr:from>
    <xdr:to>
      <xdr:col>2</xdr:col>
      <xdr:colOff>974785</xdr:colOff>
      <xdr:row>0</xdr:row>
      <xdr:rowOff>250166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629713" y="224285"/>
          <a:ext cx="983427" cy="215662"/>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319176</xdr:colOff>
      <xdr:row>0</xdr:row>
      <xdr:rowOff>43129</xdr:rowOff>
    </xdr:from>
    <xdr:to>
      <xdr:col>2</xdr:col>
      <xdr:colOff>974785</xdr:colOff>
      <xdr:row>1</xdr:row>
      <xdr:rowOff>17253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D5DEC05-CC09-447D-A62C-A24FD296FE2F}"/>
            </a:ext>
          </a:extLst>
        </xdr:cNvPr>
        <xdr:cNvSpPr/>
      </xdr:nvSpPr>
      <xdr:spPr>
        <a:xfrm>
          <a:off x="585876" y="243154"/>
          <a:ext cx="979459" cy="21224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6</xdr:col>
      <xdr:colOff>538370</xdr:colOff>
      <xdr:row>7</xdr:row>
      <xdr:rowOff>1</xdr:rowOff>
    </xdr:from>
    <xdr:to>
      <xdr:col>11</xdr:col>
      <xdr:colOff>8284</xdr:colOff>
      <xdr:row>9</xdr:row>
      <xdr:rowOff>140804</xdr:rowOff>
    </xdr:to>
    <xdr:sp macro="" textlink="">
      <xdr:nvSpPr>
        <xdr:cNvPr id="4" name="TextBox 3">
          <a:extLst>
            <a:ext uri="{FF2B5EF4-FFF2-40B4-BE49-F238E27FC236}">
              <a16:creationId xmlns:a16="http://schemas.microsoft.com/office/drawing/2014/main" id="{D6D80CAA-3152-4DCC-8D7F-2079772CF844}"/>
            </a:ext>
          </a:extLst>
        </xdr:cNvPr>
        <xdr:cNvSpPr txBox="1"/>
      </xdr:nvSpPr>
      <xdr:spPr>
        <a:xfrm>
          <a:off x="7255566" y="1408044"/>
          <a:ext cx="2468218" cy="538369"/>
        </a:xfrm>
        <a:prstGeom prst="rect">
          <a:avLst/>
        </a:prstGeom>
        <a:solidFill>
          <a:schemeClr val="lt1"/>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i="0" u="none" strike="noStrike" baseline="0">
              <a:solidFill>
                <a:sysClr val="windowText" lastClr="000000"/>
              </a:solidFill>
              <a:latin typeface="+mn-lt"/>
              <a:ea typeface="+mn-ea"/>
              <a:cs typeface="+mn-cs"/>
            </a:rPr>
            <a:t>* May be infused via peripheral or central line; in-line filter NOT required</a:t>
          </a:r>
          <a:endParaRPr lang="en-CA" sz="1100">
            <a:solidFill>
              <a:sysClr val="windowText" lastClr="000000"/>
            </a:solidFill>
          </a:endParaRPr>
        </a:p>
      </xdr:txBody>
    </xdr:sp>
    <xdr:clientData/>
  </xdr:twoCellAnchor>
  <xdr:twoCellAnchor>
    <xdr:from>
      <xdr:col>5</xdr:col>
      <xdr:colOff>0</xdr:colOff>
      <xdr:row>8</xdr:row>
      <xdr:rowOff>60960</xdr:rowOff>
    </xdr:from>
    <xdr:to>
      <xdr:col>6</xdr:col>
      <xdr:colOff>302150</xdr:colOff>
      <xdr:row>8</xdr:row>
      <xdr:rowOff>66593</xdr:rowOff>
    </xdr:to>
    <xdr:cxnSp macro="">
      <xdr:nvCxnSpPr>
        <xdr:cNvPr id="6" name="Straight Arrow Connector 5">
          <a:extLst>
            <a:ext uri="{FF2B5EF4-FFF2-40B4-BE49-F238E27FC236}">
              <a16:creationId xmlns:a16="http://schemas.microsoft.com/office/drawing/2014/main" id="{916C3F11-74C7-47DF-85CA-EBB597E60D51}"/>
            </a:ext>
          </a:extLst>
        </xdr:cNvPr>
        <xdr:cNvCxnSpPr>
          <a:stCxn id="4" idx="1"/>
        </xdr:cNvCxnSpPr>
      </xdr:nvCxnSpPr>
      <xdr:spPr>
        <a:xfrm flipH="1" flipV="1">
          <a:off x="6598920" y="1645920"/>
          <a:ext cx="606950" cy="5633"/>
        </a:xfrm>
        <a:prstGeom prst="straightConnector1">
          <a:avLst/>
        </a:prstGeom>
        <a:ln w="190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17254</xdr:colOff>
      <xdr:row>0</xdr:row>
      <xdr:rowOff>51755</xdr:rowOff>
    </xdr:from>
    <xdr:to>
      <xdr:col>2</xdr:col>
      <xdr:colOff>1052426</xdr:colOff>
      <xdr:row>0</xdr:row>
      <xdr:rowOff>258790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655609" y="241536"/>
          <a:ext cx="1035172" cy="189783"/>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138545</xdr:colOff>
      <xdr:row>1</xdr:row>
      <xdr:rowOff>8663</xdr:rowOff>
    </xdr:from>
    <xdr:to>
      <xdr:col>2</xdr:col>
      <xdr:colOff>321772</xdr:colOff>
      <xdr:row>2</xdr:row>
      <xdr:rowOff>1736</xdr:rowOff>
    </xdr:to>
    <xdr:pic>
      <xdr:nvPicPr>
        <xdr:cNvPr id="7" name="Picture 6">
          <a:hlinkClick xmlns:r="http://schemas.openxmlformats.org/officeDocument/2006/relationships" r:id="rId1"/>
          <a:extLst>
            <a:ext uri="{FF2B5EF4-FFF2-40B4-BE49-F238E27FC236}">
              <a16:creationId xmlns:a16="http://schemas.microsoft.com/office/drawing/2014/main" id="{3090B6E3-523A-4127-89DB-175BE3BB06DF}"/>
            </a:ext>
          </a:extLst>
        </xdr:cNvPr>
        <xdr:cNvPicPr>
          <a:picLocks noChangeAspect="1"/>
        </xdr:cNvPicPr>
      </xdr:nvPicPr>
      <xdr:blipFill>
        <a:blip xmlns:r="http://schemas.openxmlformats.org/officeDocument/2006/relationships" r:embed="rId2"/>
        <a:stretch>
          <a:fillRect/>
        </a:stretch>
      </xdr:blipFill>
      <xdr:spPr>
        <a:xfrm>
          <a:off x="138545" y="207822"/>
          <a:ext cx="971204" cy="259773"/>
        </a:xfrm>
        <a:prstGeom prst="rect">
          <a:avLst/>
        </a:prstGeom>
      </xdr:spPr>
    </xdr:pic>
    <xdr:clientData/>
  </xdr:twoCellAnchor>
  <xdr:twoCellAnchor>
    <xdr:from>
      <xdr:col>8</xdr:col>
      <xdr:colOff>10390</xdr:colOff>
      <xdr:row>3</xdr:row>
      <xdr:rowOff>185650</xdr:rowOff>
    </xdr:from>
    <xdr:to>
      <xdr:col>19</xdr:col>
      <xdr:colOff>457200</xdr:colOff>
      <xdr:row>28</xdr:row>
      <xdr:rowOff>159328</xdr:rowOff>
    </xdr:to>
    <xdr:graphicFrame macro="">
      <xdr:nvGraphicFramePr>
        <xdr:cNvPr id="6" name="Chart 5">
          <a:extLst>
            <a:ext uri="{FF2B5EF4-FFF2-40B4-BE49-F238E27FC236}">
              <a16:creationId xmlns:a16="http://schemas.microsoft.com/office/drawing/2014/main" id="{8476CE47-AF4B-49A3-A1C3-9E8C21A2C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161925</xdr:colOff>
      <xdr:row>0</xdr:row>
      <xdr:rowOff>182881</xdr:rowOff>
    </xdr:from>
    <xdr:to>
      <xdr:col>2</xdr:col>
      <xdr:colOff>257175</xdr:colOff>
      <xdr:row>1</xdr:row>
      <xdr:rowOff>251461</xdr:rowOff>
    </xdr:to>
    <xdr:pic>
      <xdr:nvPicPr>
        <xdr:cNvPr id="3" name="Picture 2">
          <a:hlinkClick xmlns:r="http://schemas.openxmlformats.org/officeDocument/2006/relationships" r:id="rId1"/>
          <a:extLst>
            <a:ext uri="{FF2B5EF4-FFF2-40B4-BE49-F238E27FC236}">
              <a16:creationId xmlns:a16="http://schemas.microsoft.com/office/drawing/2014/main" id="{44EDB2A2-CD64-4BF0-BC11-800201779D51}"/>
            </a:ext>
          </a:extLst>
        </xdr:cNvPr>
        <xdr:cNvPicPr>
          <a:picLocks noChangeAspect="1"/>
        </xdr:cNvPicPr>
      </xdr:nvPicPr>
      <xdr:blipFill>
        <a:blip xmlns:r="http://schemas.openxmlformats.org/officeDocument/2006/relationships" r:embed="rId2"/>
        <a:stretch>
          <a:fillRect/>
        </a:stretch>
      </xdr:blipFill>
      <xdr:spPr>
        <a:xfrm>
          <a:off x="161925" y="182881"/>
          <a:ext cx="1024890" cy="274320"/>
        </a:xfrm>
        <a:prstGeom prst="rect">
          <a:avLst/>
        </a:prstGeom>
      </xdr:spPr>
    </xdr:pic>
    <xdr:clientData/>
  </xdr:twoCellAnchor>
  <xdr:twoCellAnchor editAs="oneCell">
    <xdr:from>
      <xdr:col>1</xdr:col>
      <xdr:colOff>304800</xdr:colOff>
      <xdr:row>80</xdr:row>
      <xdr:rowOff>152400</xdr:rowOff>
    </xdr:from>
    <xdr:to>
      <xdr:col>8</xdr:col>
      <xdr:colOff>857250</xdr:colOff>
      <xdr:row>98</xdr:row>
      <xdr:rowOff>90404</xdr:rowOff>
    </xdr:to>
    <xdr:pic>
      <xdr:nvPicPr>
        <xdr:cNvPr id="4" name="Picture 3">
          <a:extLst>
            <a:ext uri="{FF2B5EF4-FFF2-40B4-BE49-F238E27FC236}">
              <a16:creationId xmlns:a16="http://schemas.microsoft.com/office/drawing/2014/main" id="{0AE3E1D2-8C18-704D-886C-0B198524CE82}"/>
            </a:ext>
          </a:extLst>
        </xdr:cNvPr>
        <xdr:cNvPicPr>
          <a:picLocks noChangeAspect="1"/>
        </xdr:cNvPicPr>
      </xdr:nvPicPr>
      <xdr:blipFill>
        <a:blip xmlns:r="http://schemas.openxmlformats.org/officeDocument/2006/relationships" r:embed="rId3"/>
        <a:stretch>
          <a:fillRect/>
        </a:stretch>
      </xdr:blipFill>
      <xdr:spPr>
        <a:xfrm>
          <a:off x="914400" y="18097500"/>
          <a:ext cx="6000750" cy="3538454"/>
        </a:xfrm>
        <a:prstGeom prst="rect">
          <a:avLst/>
        </a:prstGeom>
      </xdr:spPr>
    </xdr:pic>
    <xdr:clientData/>
  </xdr:twoCellAnchor>
  <xdr:twoCellAnchor editAs="oneCell">
    <xdr:from>
      <xdr:col>11</xdr:col>
      <xdr:colOff>0</xdr:colOff>
      <xdr:row>81</xdr:row>
      <xdr:rowOff>0</xdr:rowOff>
    </xdr:from>
    <xdr:to>
      <xdr:col>17</xdr:col>
      <xdr:colOff>1501140</xdr:colOff>
      <xdr:row>97</xdr:row>
      <xdr:rowOff>19415</xdr:rowOff>
    </xdr:to>
    <xdr:pic>
      <xdr:nvPicPr>
        <xdr:cNvPr id="7" name="Picture 6">
          <a:extLst>
            <a:ext uri="{FF2B5EF4-FFF2-40B4-BE49-F238E27FC236}">
              <a16:creationId xmlns:a16="http://schemas.microsoft.com/office/drawing/2014/main" id="{B21AA938-8FCE-E1C6-D556-71C64F7DC41A}"/>
            </a:ext>
          </a:extLst>
        </xdr:cNvPr>
        <xdr:cNvPicPr>
          <a:picLocks noChangeAspect="1"/>
        </xdr:cNvPicPr>
      </xdr:nvPicPr>
      <xdr:blipFill>
        <a:blip xmlns:r="http://schemas.openxmlformats.org/officeDocument/2006/relationships" r:embed="rId4"/>
        <a:stretch>
          <a:fillRect/>
        </a:stretch>
      </xdr:blipFill>
      <xdr:spPr>
        <a:xfrm>
          <a:off x="8534400" y="18145125"/>
          <a:ext cx="5324475" cy="321981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2</xdr:col>
      <xdr:colOff>34504</xdr:colOff>
      <xdr:row>0</xdr:row>
      <xdr:rowOff>34504</xdr:rowOff>
    </xdr:from>
    <xdr:to>
      <xdr:col>2</xdr:col>
      <xdr:colOff>1035170</xdr:colOff>
      <xdr:row>0</xdr:row>
      <xdr:rowOff>224287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672859" y="224285"/>
          <a:ext cx="1000666" cy="189783"/>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2</xdr:col>
      <xdr:colOff>34504</xdr:colOff>
      <xdr:row>0</xdr:row>
      <xdr:rowOff>34504</xdr:rowOff>
    </xdr:from>
    <xdr:to>
      <xdr:col>2</xdr:col>
      <xdr:colOff>1035170</xdr:colOff>
      <xdr:row>1</xdr:row>
      <xdr:rowOff>6626</xdr:rowOff>
    </xdr:to>
    <xdr:sp macro="" textlink="">
      <xdr:nvSpPr>
        <xdr:cNvPr id="5" name="Rounded Rectangle 1">
          <a:hlinkClick xmlns:r="http://schemas.openxmlformats.org/officeDocument/2006/relationships" r:id="rId1"/>
          <a:extLst>
            <a:ext uri="{FF2B5EF4-FFF2-40B4-BE49-F238E27FC236}">
              <a16:creationId xmlns:a16="http://schemas.microsoft.com/office/drawing/2014/main" id="{00000000-0008-0000-2100-000005000000}"/>
            </a:ext>
          </a:extLst>
        </xdr:cNvPr>
        <xdr:cNvSpPr/>
      </xdr:nvSpPr>
      <xdr:spPr>
        <a:xfrm>
          <a:off x="644104" y="220034"/>
          <a:ext cx="1000666" cy="157653"/>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editAs="oneCell">
    <xdr:from>
      <xdr:col>0</xdr:col>
      <xdr:colOff>231914</xdr:colOff>
      <xdr:row>10</xdr:row>
      <xdr:rowOff>124239</xdr:rowOff>
    </xdr:from>
    <xdr:to>
      <xdr:col>5</xdr:col>
      <xdr:colOff>247095</xdr:colOff>
      <xdr:row>23</xdr:row>
      <xdr:rowOff>182724</xdr:rowOff>
    </xdr:to>
    <xdr:pic>
      <xdr:nvPicPr>
        <xdr:cNvPr id="7" name="Picture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1914" y="2145196"/>
          <a:ext cx="4991372" cy="2569772"/>
        </a:xfrm>
        <a:prstGeom prst="rect">
          <a:avLst/>
        </a:prstGeom>
      </xdr:spPr>
    </xdr:pic>
    <xdr:clientData/>
  </xdr:twoCellAnchor>
  <xdr:twoCellAnchor>
    <xdr:from>
      <xdr:col>9</xdr:col>
      <xdr:colOff>8282</xdr:colOff>
      <xdr:row>8</xdr:row>
      <xdr:rowOff>107674</xdr:rowOff>
    </xdr:from>
    <xdr:to>
      <xdr:col>11</xdr:col>
      <xdr:colOff>0</xdr:colOff>
      <xdr:row>8</xdr:row>
      <xdr:rowOff>107674</xdr:rowOff>
    </xdr:to>
    <xdr:cxnSp macro="">
      <xdr:nvCxnSpPr>
        <xdr:cNvPr id="4" name="Straight Arrow Connector 3">
          <a:extLst>
            <a:ext uri="{FF2B5EF4-FFF2-40B4-BE49-F238E27FC236}">
              <a16:creationId xmlns:a16="http://schemas.microsoft.com/office/drawing/2014/main" id="{67D8CB1E-6E66-44FA-88F6-3893E3F2DBB3}"/>
            </a:ext>
          </a:extLst>
        </xdr:cNvPr>
        <xdr:cNvCxnSpPr/>
      </xdr:nvCxnSpPr>
      <xdr:spPr>
        <a:xfrm flipH="1">
          <a:off x="8481391" y="1813891"/>
          <a:ext cx="753718" cy="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8275</xdr:colOff>
      <xdr:row>12</xdr:row>
      <xdr:rowOff>49697</xdr:rowOff>
    </xdr:from>
    <xdr:to>
      <xdr:col>10</xdr:col>
      <xdr:colOff>463819</xdr:colOff>
      <xdr:row>12</xdr:row>
      <xdr:rowOff>49697</xdr:rowOff>
    </xdr:to>
    <xdr:cxnSp macro="">
      <xdr:nvCxnSpPr>
        <xdr:cNvPr id="8" name="Straight Arrow Connector 7">
          <a:extLst>
            <a:ext uri="{FF2B5EF4-FFF2-40B4-BE49-F238E27FC236}">
              <a16:creationId xmlns:a16="http://schemas.microsoft.com/office/drawing/2014/main" id="{05A25EE7-F880-4AB9-A568-C29B95232D89}"/>
            </a:ext>
          </a:extLst>
        </xdr:cNvPr>
        <xdr:cNvCxnSpPr/>
      </xdr:nvCxnSpPr>
      <xdr:spPr>
        <a:xfrm flipH="1">
          <a:off x="8481384" y="2592458"/>
          <a:ext cx="753718" cy="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77238</xdr:colOff>
      <xdr:row>0</xdr:row>
      <xdr:rowOff>65672</xdr:rowOff>
    </xdr:from>
    <xdr:to>
      <xdr:col>2</xdr:col>
      <xdr:colOff>217170</xdr:colOff>
      <xdr:row>1</xdr:row>
      <xdr:rowOff>139065</xdr:rowOff>
    </xdr:to>
    <xdr:sp macro="" textlink="">
      <xdr:nvSpPr>
        <xdr:cNvPr id="2" name="Rounded Rectangle 2">
          <a:hlinkClick xmlns:r="http://schemas.openxmlformats.org/officeDocument/2006/relationships" r:id="rId1"/>
          <a:extLst>
            <a:ext uri="{FF2B5EF4-FFF2-40B4-BE49-F238E27FC236}">
              <a16:creationId xmlns:a16="http://schemas.microsoft.com/office/drawing/2014/main" id="{1862EC51-0AB2-44DD-98A4-0C2ABE089162}"/>
            </a:ext>
          </a:extLst>
        </xdr:cNvPr>
        <xdr:cNvSpPr/>
      </xdr:nvSpPr>
      <xdr:spPr>
        <a:xfrm>
          <a:off x="77238" y="65672"/>
          <a:ext cx="1054332" cy="263893"/>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300123</xdr:colOff>
      <xdr:row>0</xdr:row>
      <xdr:rowOff>34506</xdr:rowOff>
    </xdr:from>
    <xdr:to>
      <xdr:col>3</xdr:col>
      <xdr:colOff>342900</xdr:colOff>
      <xdr:row>1</xdr:row>
      <xdr:rowOff>5715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604923" y="34506"/>
          <a:ext cx="1094337" cy="18456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11</xdr:col>
      <xdr:colOff>190500</xdr:colOff>
      <xdr:row>13</xdr:row>
      <xdr:rowOff>0</xdr:rowOff>
    </xdr:from>
    <xdr:to>
      <xdr:col>11</xdr:col>
      <xdr:colOff>190500</xdr:colOff>
      <xdr:row>15</xdr:row>
      <xdr:rowOff>7620</xdr:rowOff>
    </xdr:to>
    <xdr:cxnSp macro="">
      <xdr:nvCxnSpPr>
        <xdr:cNvPr id="4" name="Straight Arrow Connector 3">
          <a:extLst>
            <a:ext uri="{FF2B5EF4-FFF2-40B4-BE49-F238E27FC236}">
              <a16:creationId xmlns:a16="http://schemas.microsoft.com/office/drawing/2014/main" id="{F316DFB7-2F0E-4B4A-B8CC-58231BEE4F05}"/>
            </a:ext>
          </a:extLst>
        </xdr:cNvPr>
        <xdr:cNvCxnSpPr/>
      </xdr:nvCxnSpPr>
      <xdr:spPr>
        <a:xfrm flipV="1">
          <a:off x="8389620" y="2552700"/>
          <a:ext cx="0" cy="41148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13</xdr:col>
      <xdr:colOff>228600</xdr:colOff>
      <xdr:row>1</xdr:row>
      <xdr:rowOff>9525</xdr:rowOff>
    </xdr:from>
    <xdr:to>
      <xdr:col>13</xdr:col>
      <xdr:colOff>655357</xdr:colOff>
      <xdr:row>3</xdr:row>
      <xdr:rowOff>12225</xdr:rowOff>
    </xdr:to>
    <xdr:pic>
      <xdr:nvPicPr>
        <xdr:cNvPr id="5" name="Picture 4">
          <a:extLst>
            <a:ext uri="{FF2B5EF4-FFF2-40B4-BE49-F238E27FC236}">
              <a16:creationId xmlns:a16="http://schemas.microsoft.com/office/drawing/2014/main" id="{3C488C98-BAAD-D7E6-8CB9-CC4FF4D03985}"/>
            </a:ext>
          </a:extLst>
        </xdr:cNvPr>
        <xdr:cNvPicPr>
          <a:picLocks noChangeAspect="1"/>
        </xdr:cNvPicPr>
      </xdr:nvPicPr>
      <xdr:blipFill>
        <a:blip xmlns:r="http://schemas.openxmlformats.org/officeDocument/2006/relationships" r:embed="rId2"/>
        <a:stretch>
          <a:fillRect/>
        </a:stretch>
      </xdr:blipFill>
      <xdr:spPr>
        <a:xfrm>
          <a:off x="8858250" y="219075"/>
          <a:ext cx="426757" cy="37798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28575</xdr:colOff>
      <xdr:row>0</xdr:row>
      <xdr:rowOff>133350</xdr:rowOff>
    </xdr:from>
    <xdr:to>
      <xdr:col>1</xdr:col>
      <xdr:colOff>1025645</xdr:colOff>
      <xdr:row>0</xdr:row>
      <xdr:rowOff>331758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457200" y="133350"/>
          <a:ext cx="997070"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101000</xdr:colOff>
      <xdr:row>0</xdr:row>
      <xdr:rowOff>25878</xdr:rowOff>
    </xdr:from>
    <xdr:to>
      <xdr:col>2</xdr:col>
      <xdr:colOff>836395</xdr:colOff>
      <xdr:row>1</xdr:row>
      <xdr:rowOff>1343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399174" y="216378"/>
          <a:ext cx="1033569" cy="215661"/>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9525</xdr:colOff>
      <xdr:row>9</xdr:row>
      <xdr:rowOff>95250</xdr:rowOff>
    </xdr:from>
    <xdr:to>
      <xdr:col>5</xdr:col>
      <xdr:colOff>602672</xdr:colOff>
      <xdr:row>9</xdr:row>
      <xdr:rowOff>96982</xdr:rowOff>
    </xdr:to>
    <xdr:cxnSp macro="">
      <xdr:nvCxnSpPr>
        <xdr:cNvPr id="5" name="Straight Arrow Connector 4">
          <a:extLst>
            <a:ext uri="{FF2B5EF4-FFF2-40B4-BE49-F238E27FC236}">
              <a16:creationId xmlns:a16="http://schemas.microsoft.com/office/drawing/2014/main" id="{D3E1AD51-3A56-4C65-9775-0A4C2B7FE2FA}"/>
            </a:ext>
          </a:extLst>
        </xdr:cNvPr>
        <xdr:cNvCxnSpPr/>
      </xdr:nvCxnSpPr>
      <xdr:spPr>
        <a:xfrm flipH="1" flipV="1">
          <a:off x="4138180" y="2055668"/>
          <a:ext cx="897947" cy="1732"/>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9525</xdr:colOff>
      <xdr:row>10</xdr:row>
      <xdr:rowOff>83127</xdr:rowOff>
    </xdr:from>
    <xdr:to>
      <xdr:col>6</xdr:col>
      <xdr:colOff>0</xdr:colOff>
      <xdr:row>10</xdr:row>
      <xdr:rowOff>85725</xdr:rowOff>
    </xdr:to>
    <xdr:cxnSp macro="">
      <xdr:nvCxnSpPr>
        <xdr:cNvPr id="16" name="Straight Arrow Connector 15">
          <a:extLst>
            <a:ext uri="{FF2B5EF4-FFF2-40B4-BE49-F238E27FC236}">
              <a16:creationId xmlns:a16="http://schemas.microsoft.com/office/drawing/2014/main" id="{EB0B31B5-1F8C-4E88-A90D-D42E9F59E68B}"/>
            </a:ext>
          </a:extLst>
        </xdr:cNvPr>
        <xdr:cNvCxnSpPr/>
      </xdr:nvCxnSpPr>
      <xdr:spPr>
        <a:xfrm flipH="1">
          <a:off x="4138180" y="2237509"/>
          <a:ext cx="904875" cy="2598"/>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9525</xdr:colOff>
      <xdr:row>11</xdr:row>
      <xdr:rowOff>96982</xdr:rowOff>
    </xdr:from>
    <xdr:to>
      <xdr:col>6</xdr:col>
      <xdr:colOff>0</xdr:colOff>
      <xdr:row>11</xdr:row>
      <xdr:rowOff>104775</xdr:rowOff>
    </xdr:to>
    <xdr:cxnSp macro="">
      <xdr:nvCxnSpPr>
        <xdr:cNvPr id="17" name="Straight Arrow Connector 16">
          <a:extLst>
            <a:ext uri="{FF2B5EF4-FFF2-40B4-BE49-F238E27FC236}">
              <a16:creationId xmlns:a16="http://schemas.microsoft.com/office/drawing/2014/main" id="{20D65839-AA56-4C24-8EF9-2EA3D21947A8}"/>
            </a:ext>
          </a:extLst>
        </xdr:cNvPr>
        <xdr:cNvCxnSpPr/>
      </xdr:nvCxnSpPr>
      <xdr:spPr>
        <a:xfrm flipH="1">
          <a:off x="4138180" y="2445327"/>
          <a:ext cx="904875" cy="7793"/>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9525</xdr:colOff>
      <xdr:row>12</xdr:row>
      <xdr:rowOff>103909</xdr:rowOff>
    </xdr:from>
    <xdr:to>
      <xdr:col>5</xdr:col>
      <xdr:colOff>602672</xdr:colOff>
      <xdr:row>12</xdr:row>
      <xdr:rowOff>104775</xdr:rowOff>
    </xdr:to>
    <xdr:cxnSp macro="">
      <xdr:nvCxnSpPr>
        <xdr:cNvPr id="18" name="Straight Arrow Connector 17">
          <a:extLst>
            <a:ext uri="{FF2B5EF4-FFF2-40B4-BE49-F238E27FC236}">
              <a16:creationId xmlns:a16="http://schemas.microsoft.com/office/drawing/2014/main" id="{6190AD0C-8CF4-4B02-860F-93299BC2EF19}"/>
            </a:ext>
          </a:extLst>
        </xdr:cNvPr>
        <xdr:cNvCxnSpPr/>
      </xdr:nvCxnSpPr>
      <xdr:spPr>
        <a:xfrm flipH="1">
          <a:off x="4138180" y="2646218"/>
          <a:ext cx="897947" cy="866"/>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0</xdr:colOff>
      <xdr:row>13</xdr:row>
      <xdr:rowOff>96982</xdr:rowOff>
    </xdr:from>
    <xdr:to>
      <xdr:col>5</xdr:col>
      <xdr:colOff>602672</xdr:colOff>
      <xdr:row>13</xdr:row>
      <xdr:rowOff>104775</xdr:rowOff>
    </xdr:to>
    <xdr:cxnSp macro="">
      <xdr:nvCxnSpPr>
        <xdr:cNvPr id="19" name="Straight Arrow Connector 18">
          <a:extLst>
            <a:ext uri="{FF2B5EF4-FFF2-40B4-BE49-F238E27FC236}">
              <a16:creationId xmlns:a16="http://schemas.microsoft.com/office/drawing/2014/main" id="{5F9DE0A1-4BA6-48C0-A409-9EA9354E0718}"/>
            </a:ext>
          </a:extLst>
        </xdr:cNvPr>
        <xdr:cNvCxnSpPr/>
      </xdr:nvCxnSpPr>
      <xdr:spPr>
        <a:xfrm flipH="1">
          <a:off x="4128655" y="2833255"/>
          <a:ext cx="907472" cy="7793"/>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9525</xdr:colOff>
      <xdr:row>14</xdr:row>
      <xdr:rowOff>96982</xdr:rowOff>
    </xdr:from>
    <xdr:to>
      <xdr:col>5</xdr:col>
      <xdr:colOff>602672</xdr:colOff>
      <xdr:row>14</xdr:row>
      <xdr:rowOff>104775</xdr:rowOff>
    </xdr:to>
    <xdr:cxnSp macro="">
      <xdr:nvCxnSpPr>
        <xdr:cNvPr id="20" name="Straight Arrow Connector 19">
          <a:extLst>
            <a:ext uri="{FF2B5EF4-FFF2-40B4-BE49-F238E27FC236}">
              <a16:creationId xmlns:a16="http://schemas.microsoft.com/office/drawing/2014/main" id="{2232972D-A0F3-40F8-B0D7-9EB071BC6FAE}"/>
            </a:ext>
          </a:extLst>
        </xdr:cNvPr>
        <xdr:cNvCxnSpPr/>
      </xdr:nvCxnSpPr>
      <xdr:spPr>
        <a:xfrm flipH="1">
          <a:off x="4138180" y="3027218"/>
          <a:ext cx="897947" cy="7793"/>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9525</xdr:colOff>
      <xdr:row>15</xdr:row>
      <xdr:rowOff>103909</xdr:rowOff>
    </xdr:from>
    <xdr:to>
      <xdr:col>5</xdr:col>
      <xdr:colOff>602672</xdr:colOff>
      <xdr:row>15</xdr:row>
      <xdr:rowOff>104775</xdr:rowOff>
    </xdr:to>
    <xdr:cxnSp macro="">
      <xdr:nvCxnSpPr>
        <xdr:cNvPr id="21" name="Straight Arrow Connector 20">
          <a:extLst>
            <a:ext uri="{FF2B5EF4-FFF2-40B4-BE49-F238E27FC236}">
              <a16:creationId xmlns:a16="http://schemas.microsoft.com/office/drawing/2014/main" id="{1DA3BFF9-32EF-4A35-99A6-96F1E83AAFED}"/>
            </a:ext>
          </a:extLst>
        </xdr:cNvPr>
        <xdr:cNvCxnSpPr/>
      </xdr:nvCxnSpPr>
      <xdr:spPr>
        <a:xfrm flipH="1">
          <a:off x="4138180" y="3228109"/>
          <a:ext cx="897947" cy="866"/>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9525</xdr:colOff>
      <xdr:row>18</xdr:row>
      <xdr:rowOff>104775</xdr:rowOff>
    </xdr:from>
    <xdr:to>
      <xdr:col>6</xdr:col>
      <xdr:colOff>7620</xdr:colOff>
      <xdr:row>18</xdr:row>
      <xdr:rowOff>106680</xdr:rowOff>
    </xdr:to>
    <xdr:cxnSp macro="">
      <xdr:nvCxnSpPr>
        <xdr:cNvPr id="22" name="Straight Arrow Connector 21">
          <a:extLst>
            <a:ext uri="{FF2B5EF4-FFF2-40B4-BE49-F238E27FC236}">
              <a16:creationId xmlns:a16="http://schemas.microsoft.com/office/drawing/2014/main" id="{B003C7EA-6CEE-43BB-A7DE-87B68C7A406C}"/>
            </a:ext>
          </a:extLst>
        </xdr:cNvPr>
        <xdr:cNvCxnSpPr/>
      </xdr:nvCxnSpPr>
      <xdr:spPr>
        <a:xfrm flipH="1" flipV="1">
          <a:off x="4139565" y="3945255"/>
          <a:ext cx="912495" cy="190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1082040</xdr:colOff>
      <xdr:row>21</xdr:row>
      <xdr:rowOff>106680</xdr:rowOff>
    </xdr:from>
    <xdr:to>
      <xdr:col>6</xdr:col>
      <xdr:colOff>0</xdr:colOff>
      <xdr:row>21</xdr:row>
      <xdr:rowOff>114300</xdr:rowOff>
    </xdr:to>
    <xdr:cxnSp macro="">
      <xdr:nvCxnSpPr>
        <xdr:cNvPr id="23" name="Straight Arrow Connector 22">
          <a:extLst>
            <a:ext uri="{FF2B5EF4-FFF2-40B4-BE49-F238E27FC236}">
              <a16:creationId xmlns:a16="http://schemas.microsoft.com/office/drawing/2014/main" id="{C58145AF-86F1-4D73-9009-60B359BB8B9E}"/>
            </a:ext>
          </a:extLst>
        </xdr:cNvPr>
        <xdr:cNvCxnSpPr/>
      </xdr:nvCxnSpPr>
      <xdr:spPr>
        <a:xfrm flipH="1" flipV="1">
          <a:off x="4122420" y="4518660"/>
          <a:ext cx="922020" cy="7620"/>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70808</xdr:colOff>
      <xdr:row>0</xdr:row>
      <xdr:rowOff>43132</xdr:rowOff>
    </xdr:from>
    <xdr:to>
      <xdr:col>0</xdr:col>
      <xdr:colOff>898943</xdr:colOff>
      <xdr:row>0</xdr:row>
      <xdr:rowOff>344877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70808" y="43132"/>
          <a:ext cx="828135" cy="301745"/>
        </a:xfrm>
        <a:prstGeom prst="roundRect">
          <a:avLst/>
        </a:prstGeom>
        <a:solidFill>
          <a:srgbClr val="E68A9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b="1">
              <a:solidFill>
                <a:schemeClr val="tx1">
                  <a:lumMod val="75000"/>
                  <a:lumOff val="25000"/>
                </a:schemeClr>
              </a:solidFill>
            </a:rPr>
            <a:t>Back to Index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35209</xdr:colOff>
      <xdr:row>0</xdr:row>
      <xdr:rowOff>35208</xdr:rowOff>
    </xdr:from>
    <xdr:to>
      <xdr:col>2</xdr:col>
      <xdr:colOff>1062105</xdr:colOff>
      <xdr:row>0</xdr:row>
      <xdr:rowOff>233616</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739406" y="8010241"/>
          <a:ext cx="1026896"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9</xdr:col>
      <xdr:colOff>7620</xdr:colOff>
      <xdr:row>6</xdr:row>
      <xdr:rowOff>104775</xdr:rowOff>
    </xdr:from>
    <xdr:to>
      <xdr:col>10</xdr:col>
      <xdr:colOff>590550</xdr:colOff>
      <xdr:row>6</xdr:row>
      <xdr:rowOff>106680</xdr:rowOff>
    </xdr:to>
    <xdr:cxnSp macro="">
      <xdr:nvCxnSpPr>
        <xdr:cNvPr id="3" name="Straight Arrow Connector 2">
          <a:extLst>
            <a:ext uri="{FF2B5EF4-FFF2-40B4-BE49-F238E27FC236}">
              <a16:creationId xmlns:a16="http://schemas.microsoft.com/office/drawing/2014/main" id="{B661AA62-422E-4D5E-862C-CC57C35A9BC0}"/>
            </a:ext>
          </a:extLst>
        </xdr:cNvPr>
        <xdr:cNvCxnSpPr/>
      </xdr:nvCxnSpPr>
      <xdr:spPr>
        <a:xfrm flipH="1">
          <a:off x="10363200" y="1301115"/>
          <a:ext cx="887730" cy="1905"/>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310544</xdr:colOff>
      <xdr:row>0</xdr:row>
      <xdr:rowOff>43129</xdr:rowOff>
    </xdr:from>
    <xdr:to>
      <xdr:col>2</xdr:col>
      <xdr:colOff>966158</xdr:colOff>
      <xdr:row>1</xdr:row>
      <xdr:rowOff>60385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3843" y="224284"/>
          <a:ext cx="966164" cy="198410"/>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0</xdr:colOff>
      <xdr:row>11</xdr:row>
      <xdr:rowOff>92765</xdr:rowOff>
    </xdr:from>
    <xdr:to>
      <xdr:col>5</xdr:col>
      <xdr:colOff>609600</xdr:colOff>
      <xdr:row>11</xdr:row>
      <xdr:rowOff>92765</xdr:rowOff>
    </xdr:to>
    <xdr:cxnSp macro="">
      <xdr:nvCxnSpPr>
        <xdr:cNvPr id="4" name="Straight Arrow Connector 3">
          <a:extLst>
            <a:ext uri="{FF2B5EF4-FFF2-40B4-BE49-F238E27FC236}">
              <a16:creationId xmlns:a16="http://schemas.microsoft.com/office/drawing/2014/main" id="{BDF93299-3396-4ABE-B4BA-BD369343C3B3}"/>
            </a:ext>
          </a:extLst>
        </xdr:cNvPr>
        <xdr:cNvCxnSpPr/>
      </xdr:nvCxnSpPr>
      <xdr:spPr>
        <a:xfrm flipH="1">
          <a:off x="3756991" y="2166730"/>
          <a:ext cx="914400" cy="0"/>
        </a:xfrm>
        <a:prstGeom prst="straightConnector1">
          <a:avLst/>
        </a:prstGeom>
        <a:ln w="19050" cap="flat" cmpd="sng" algn="ctr">
          <a:solidFill>
            <a:schemeClr val="accent6">
              <a:lumMod val="75000"/>
            </a:schemeClr>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8283</xdr:colOff>
      <xdr:row>9</xdr:row>
      <xdr:rowOff>49695</xdr:rowOff>
    </xdr:from>
    <xdr:to>
      <xdr:col>6</xdr:col>
      <xdr:colOff>6626</xdr:colOff>
      <xdr:row>9</xdr:row>
      <xdr:rowOff>53009</xdr:rowOff>
    </xdr:to>
    <xdr:cxnSp macro="">
      <xdr:nvCxnSpPr>
        <xdr:cNvPr id="3" name="Straight Arrow Connector 2">
          <a:extLst>
            <a:ext uri="{FF2B5EF4-FFF2-40B4-BE49-F238E27FC236}">
              <a16:creationId xmlns:a16="http://schemas.microsoft.com/office/drawing/2014/main" id="{67C25209-8CCC-4674-9E6F-B15DE27A7627}"/>
            </a:ext>
          </a:extLst>
        </xdr:cNvPr>
        <xdr:cNvCxnSpPr/>
      </xdr:nvCxnSpPr>
      <xdr:spPr>
        <a:xfrm flipH="1" flipV="1">
          <a:off x="3765274" y="1739347"/>
          <a:ext cx="919369" cy="3314"/>
        </a:xfrm>
        <a:prstGeom prst="straightConnector1">
          <a:avLst/>
        </a:prstGeom>
        <a:ln>
          <a:solidFill>
            <a:srgbClr val="FF0000"/>
          </a:solidFill>
          <a:headEnd type="none" w="med" len="med"/>
          <a:tailEnd type="arrow" w="med" len="med"/>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310541</xdr:colOff>
      <xdr:row>0</xdr:row>
      <xdr:rowOff>43129</xdr:rowOff>
    </xdr:from>
    <xdr:to>
      <xdr:col>2</xdr:col>
      <xdr:colOff>974777</xdr:colOff>
      <xdr:row>0</xdr:row>
      <xdr:rowOff>241538</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629718" y="224284"/>
          <a:ext cx="983414" cy="198409"/>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0</xdr:colOff>
      <xdr:row>6</xdr:row>
      <xdr:rowOff>104775</xdr:rowOff>
    </xdr:from>
    <xdr:to>
      <xdr:col>5</xdr:col>
      <xdr:colOff>609600</xdr:colOff>
      <xdr:row>6</xdr:row>
      <xdr:rowOff>106680</xdr:rowOff>
    </xdr:to>
    <xdr:cxnSp macro="">
      <xdr:nvCxnSpPr>
        <xdr:cNvPr id="4" name="Straight Arrow Connector 3">
          <a:extLst>
            <a:ext uri="{FF2B5EF4-FFF2-40B4-BE49-F238E27FC236}">
              <a16:creationId xmlns:a16="http://schemas.microsoft.com/office/drawing/2014/main" id="{DD5C0281-C5D6-4239-848D-1DD88B1A3D91}"/>
            </a:ext>
          </a:extLst>
        </xdr:cNvPr>
        <xdr:cNvCxnSpPr/>
      </xdr:nvCxnSpPr>
      <xdr:spPr>
        <a:xfrm flipH="1" flipV="1">
          <a:off x="3962400" y="1285875"/>
          <a:ext cx="914400" cy="1905"/>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9525</xdr:colOff>
      <xdr:row>9</xdr:row>
      <xdr:rowOff>95250</xdr:rowOff>
    </xdr:from>
    <xdr:to>
      <xdr:col>6</xdr:col>
      <xdr:colOff>0</xdr:colOff>
      <xdr:row>9</xdr:row>
      <xdr:rowOff>99060</xdr:rowOff>
    </xdr:to>
    <xdr:cxnSp macro="">
      <xdr:nvCxnSpPr>
        <xdr:cNvPr id="7" name="Straight Arrow Connector 6">
          <a:extLst>
            <a:ext uri="{FF2B5EF4-FFF2-40B4-BE49-F238E27FC236}">
              <a16:creationId xmlns:a16="http://schemas.microsoft.com/office/drawing/2014/main" id="{73F42ED4-2B1A-4CE6-B8D2-1FE328BC3A11}"/>
            </a:ext>
          </a:extLst>
        </xdr:cNvPr>
        <xdr:cNvCxnSpPr/>
      </xdr:nvCxnSpPr>
      <xdr:spPr>
        <a:xfrm flipH="1" flipV="1">
          <a:off x="3971925" y="1847850"/>
          <a:ext cx="912495" cy="3810"/>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7620</xdr:colOff>
      <xdr:row>11</xdr:row>
      <xdr:rowOff>104775</xdr:rowOff>
    </xdr:from>
    <xdr:to>
      <xdr:col>16</xdr:col>
      <xdr:colOff>9525</xdr:colOff>
      <xdr:row>11</xdr:row>
      <xdr:rowOff>106680</xdr:rowOff>
    </xdr:to>
    <xdr:cxnSp macro="">
      <xdr:nvCxnSpPr>
        <xdr:cNvPr id="8" name="Straight Arrow Connector 7">
          <a:extLst>
            <a:ext uri="{FF2B5EF4-FFF2-40B4-BE49-F238E27FC236}">
              <a16:creationId xmlns:a16="http://schemas.microsoft.com/office/drawing/2014/main" id="{17C20EBE-590F-497A-AA40-084568BCB13B}"/>
            </a:ext>
          </a:extLst>
        </xdr:cNvPr>
        <xdr:cNvCxnSpPr/>
      </xdr:nvCxnSpPr>
      <xdr:spPr>
        <a:xfrm flipH="1">
          <a:off x="11628120" y="2238375"/>
          <a:ext cx="923925" cy="1905"/>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310544</xdr:colOff>
      <xdr:row>0</xdr:row>
      <xdr:rowOff>43129</xdr:rowOff>
    </xdr:from>
    <xdr:to>
      <xdr:col>2</xdr:col>
      <xdr:colOff>966158</xdr:colOff>
      <xdr:row>1</xdr:row>
      <xdr:rowOff>60385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29721" y="224284"/>
          <a:ext cx="974792" cy="198410"/>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0</xdr:colOff>
      <xdr:row>11</xdr:row>
      <xdr:rowOff>99392</xdr:rowOff>
    </xdr:from>
    <xdr:to>
      <xdr:col>6</xdr:col>
      <xdr:colOff>6626</xdr:colOff>
      <xdr:row>11</xdr:row>
      <xdr:rowOff>99392</xdr:rowOff>
    </xdr:to>
    <xdr:cxnSp macro="">
      <xdr:nvCxnSpPr>
        <xdr:cNvPr id="4" name="Straight Arrow Connector 3">
          <a:extLst>
            <a:ext uri="{FF2B5EF4-FFF2-40B4-BE49-F238E27FC236}">
              <a16:creationId xmlns:a16="http://schemas.microsoft.com/office/drawing/2014/main" id="{586DDE9E-F829-4563-B7D6-4B5418463261}"/>
            </a:ext>
          </a:extLst>
        </xdr:cNvPr>
        <xdr:cNvCxnSpPr/>
      </xdr:nvCxnSpPr>
      <xdr:spPr>
        <a:xfrm flipH="1">
          <a:off x="3756991" y="2173357"/>
          <a:ext cx="927652" cy="0"/>
        </a:xfrm>
        <a:prstGeom prst="straightConnector1">
          <a:avLst/>
        </a:prstGeom>
        <a:ln w="19050">
          <a:solidFill>
            <a:schemeClr val="accent6">
              <a:lumMod val="75000"/>
            </a:schemeClr>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8624</xdr:colOff>
      <xdr:row>0</xdr:row>
      <xdr:rowOff>43130</xdr:rowOff>
    </xdr:from>
    <xdr:to>
      <xdr:col>2</xdr:col>
      <xdr:colOff>905771</xdr:colOff>
      <xdr:row>0</xdr:row>
      <xdr:rowOff>241538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03847" y="250164"/>
          <a:ext cx="897147" cy="198408"/>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1</xdr:col>
      <xdr:colOff>310543</xdr:colOff>
      <xdr:row>0</xdr:row>
      <xdr:rowOff>43129</xdr:rowOff>
    </xdr:from>
    <xdr:to>
      <xdr:col>2</xdr:col>
      <xdr:colOff>1061049</xdr:colOff>
      <xdr:row>1</xdr:row>
      <xdr:rowOff>60385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586588" y="224284"/>
          <a:ext cx="1069684" cy="198410"/>
        </a:xfrm>
        <a:prstGeom prst="roundRect">
          <a:avLst/>
        </a:prstGeom>
        <a:solidFill>
          <a:srgbClr val="E68A97"/>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0" cap="none" spc="0">
              <a:ln>
                <a:noFill/>
              </a:ln>
              <a:solidFill>
                <a:schemeClr val="tx1">
                  <a:lumMod val="75000"/>
                  <a:lumOff val="25000"/>
                </a:schemeClr>
              </a:solidFill>
              <a:effectLst/>
            </a:rPr>
            <a:t>Back to Index</a:t>
          </a:r>
        </a:p>
      </xdr:txBody>
    </xdr:sp>
    <xdr:clientData/>
  </xdr:twoCellAnchor>
  <xdr:twoCellAnchor>
    <xdr:from>
      <xdr:col>4</xdr:col>
      <xdr:colOff>0</xdr:colOff>
      <xdr:row>11</xdr:row>
      <xdr:rowOff>106018</xdr:rowOff>
    </xdr:from>
    <xdr:to>
      <xdr:col>6</xdr:col>
      <xdr:colOff>0</xdr:colOff>
      <xdr:row>11</xdr:row>
      <xdr:rowOff>106018</xdr:rowOff>
    </xdr:to>
    <xdr:cxnSp macro="">
      <xdr:nvCxnSpPr>
        <xdr:cNvPr id="5" name="Straight Arrow Connector 4">
          <a:extLst>
            <a:ext uri="{FF2B5EF4-FFF2-40B4-BE49-F238E27FC236}">
              <a16:creationId xmlns:a16="http://schemas.microsoft.com/office/drawing/2014/main" id="{B5A1E788-F50A-432F-9482-FEF923D5DF8A}"/>
            </a:ext>
          </a:extLst>
        </xdr:cNvPr>
        <xdr:cNvCxnSpPr/>
      </xdr:nvCxnSpPr>
      <xdr:spPr>
        <a:xfrm flipH="1">
          <a:off x="3584713" y="2179983"/>
          <a:ext cx="881270" cy="0"/>
        </a:xfrm>
        <a:prstGeom prst="straightConnector1">
          <a:avLst/>
        </a:prstGeom>
        <a:ln w="19050">
          <a:solidFill>
            <a:schemeClr val="accent6">
              <a:lumMod val="75000"/>
            </a:schemeClr>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6A086A3-FD2E-4EB5-8DBD-72B8D3065001}" name="Table17" displayName="Table17" ref="U5:W24" totalsRowShown="0" headerRowDxfId="10" headerRowBorderDxfId="8" tableBorderDxfId="9" totalsRowBorderDxfId="7">
  <autoFilter ref="U5:W24" xr:uid="{F6A086A3-FD2E-4EB5-8DBD-72B8D3065001}"/>
  <tableColumns count="3">
    <tableColumn id="1" xr3:uid="{9720ACEC-FA07-43F4-8587-CD6E087DC3F8}" name="Hours" dataDxfId="6"/>
    <tableColumn id="2" xr3:uid="{4768ED72-30DD-47AD-8E8F-180B25B7B116}" name="APAP Standard Line" dataDxfId="5">
      <calculatedColumnFormula>10^(((LOG(500)-LOG(1000))*(U6-4)/4)+LOG(1000))</calculatedColumnFormula>
    </tableColumn>
    <tableColumn id="3" xr3:uid="{601B2CDD-D69A-453C-9900-44F826A916B9}" name="APAP High Risk Line" dataDxfId="4">
      <calculatedColumnFormula>10^(((LOG(2000)-LOG(4000))*(U6-4)/4)+LOG(4000))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www2.gov.bc.ca/assets/gov/health/practitioner-pro/bc-guidelines/iron-deficiency-appendix-d.pdf"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2.bin"/><Relationship Id="rId1" Type="http://schemas.openxmlformats.org/officeDocument/2006/relationships/hyperlink" Target="http://www.ontariopoisoncentre.ca/pdf/78797-How%20to%20Solution.pdf" TargetMode="External"/></Relationships>
</file>

<file path=xl/worksheets/_rels/sheet3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3.bin"/><Relationship Id="rId1" Type="http://schemas.openxmlformats.org/officeDocument/2006/relationships/hyperlink" Target="https://discover.hubpages.com/education/Arterial-Blood-Gases-ABGs-Simplified"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hyperlink" Target="http://unitslab.com/node/173" TargetMode="External"/><Relationship Id="rId1" Type="http://schemas.openxmlformats.org/officeDocument/2006/relationships/hyperlink" Target="https://apps.sbgh.mb.ca/labmanual/test/findTestPrepare"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4.bin"/><Relationship Id="rId1" Type="http://schemas.openxmlformats.org/officeDocument/2006/relationships/hyperlink" Target="https://usma.org/correct-si-metric-usage" TargetMode="Externa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icromedexsolutions.com/micromedex2/librarian/"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micromedexsolutions.com/micromedex2/libraria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0">
    <tabColor rgb="FFFF9999"/>
  </sheetPr>
  <dimension ref="A2:Q47"/>
  <sheetViews>
    <sheetView zoomScaleNormal="100" workbookViewId="0">
      <selection activeCell="J23" sqref="J23"/>
    </sheetView>
  </sheetViews>
  <sheetFormatPr defaultRowHeight="15" customHeight="1"/>
  <cols>
    <col min="5" max="5" width="6.42578125" customWidth="1"/>
    <col min="9" max="9" width="6.42578125" customWidth="1"/>
    <col min="13" max="13" width="6.42578125" customWidth="1"/>
  </cols>
  <sheetData>
    <row r="2" spans="1:17" ht="15" customHeight="1">
      <c r="B2" s="124"/>
      <c r="C2" s="124"/>
      <c r="D2" s="124"/>
      <c r="E2" s="124"/>
      <c r="F2" s="124"/>
      <c r="G2" s="124"/>
      <c r="H2" s="124"/>
      <c r="I2" s="124"/>
      <c r="J2" s="124"/>
      <c r="K2" s="124"/>
      <c r="L2" s="124"/>
      <c r="M2" s="124"/>
      <c r="N2" s="124"/>
      <c r="O2" s="124"/>
      <c r="P2" s="124"/>
    </row>
    <row r="4" spans="1:17" ht="15" customHeight="1">
      <c r="A4" s="153"/>
      <c r="B4" s="153"/>
      <c r="C4" s="153"/>
      <c r="D4" s="153"/>
      <c r="E4" s="1120"/>
      <c r="F4" s="1120"/>
      <c r="G4" s="153"/>
      <c r="H4" s="153"/>
      <c r="I4" s="153"/>
      <c r="J4" s="153"/>
      <c r="K4" s="153"/>
      <c r="L4" s="153"/>
      <c r="M4" s="153"/>
      <c r="N4" s="153"/>
      <c r="O4" s="153"/>
      <c r="P4" s="153"/>
      <c r="Q4" s="153"/>
    </row>
    <row r="5" spans="1:17" ht="15" customHeight="1">
      <c r="A5" s="153"/>
      <c r="B5" s="153"/>
      <c r="C5" s="153"/>
      <c r="D5" s="153"/>
      <c r="E5" s="1120"/>
      <c r="F5" s="1120"/>
      <c r="G5" s="153"/>
      <c r="H5" s="153"/>
      <c r="I5" s="153"/>
      <c r="J5" s="153"/>
      <c r="K5" s="153"/>
      <c r="L5" s="153"/>
      <c r="M5" s="153"/>
      <c r="N5" s="153"/>
      <c r="O5" s="153"/>
      <c r="P5" s="153"/>
      <c r="Q5" s="153"/>
    </row>
    <row r="13" spans="1:17" ht="15" customHeight="1">
      <c r="B13" s="125"/>
    </row>
    <row r="19" spans="6:10" ht="15" customHeight="1">
      <c r="J19" s="166"/>
    </row>
    <row r="30" spans="6:10" ht="15" customHeight="1">
      <c r="F30" s="126"/>
    </row>
    <row r="46" spans="6:11" ht="15" customHeight="1">
      <c r="F46" s="36"/>
    </row>
    <row r="47" spans="6:11" ht="15" customHeight="1">
      <c r="K47" s="25"/>
    </row>
  </sheetData>
  <sheetProtection algorithmName="SHA-512" hashValue="1DeqaK2BQoGHdk0rh39wGiWjwh9dAwGAFYSuf8lo82dzFourFN4n7II4fOLwBOvvV5mmnKrvi2uDYRsZ67Ulcg==" saltValue="g90moNnxCYVtkwQ1tM11QA==" spinCount="100000" sheet="1" objects="1" scenarios="1"/>
  <mergeCells count="2">
    <mergeCell ref="E4:F4"/>
    <mergeCell ref="E5:F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6">
    <tabColor theme="9" tint="0.39997558519241921"/>
  </sheetPr>
  <dimension ref="B1:N30"/>
  <sheetViews>
    <sheetView zoomScale="115" zoomScaleNormal="115" workbookViewId="0">
      <selection activeCell="D6" sqref="D6"/>
    </sheetView>
  </sheetViews>
  <sheetFormatPr defaultColWidth="9" defaultRowHeight="14.25" customHeight="1"/>
  <cols>
    <col min="1" max="2" width="4.42578125" style="2" customWidth="1"/>
    <col min="3" max="3" width="36" style="2" bestFit="1" customWidth="1"/>
    <col min="4" max="4" width="16" style="2" bestFit="1" customWidth="1"/>
    <col min="5" max="5" width="4.42578125" style="2" customWidth="1"/>
    <col min="6" max="6" width="5.7109375" style="2" customWidth="1"/>
    <col min="7" max="7" width="4.5703125" style="2" customWidth="1"/>
    <col min="8" max="8" width="36" style="2" customWidth="1"/>
    <col min="9" max="9" width="16.140625" style="2" customWidth="1"/>
    <col min="10" max="10" width="4.5703125" style="2" customWidth="1"/>
    <col min="11" max="11" width="4.42578125" style="2" customWidth="1"/>
    <col min="12" max="16384" width="9" style="2"/>
  </cols>
  <sheetData>
    <row r="1" spans="2:14" ht="15" customHeight="1"/>
    <row r="2" spans="2:14" ht="15" customHeight="1" thickBot="1"/>
    <row r="3" spans="2:14" ht="15" customHeight="1" thickBot="1">
      <c r="B3" s="210"/>
      <c r="C3" s="211"/>
      <c r="D3" s="211"/>
      <c r="E3" s="212"/>
      <c r="G3" s="210"/>
      <c r="H3" s="211"/>
      <c r="I3" s="211"/>
      <c r="J3" s="212"/>
    </row>
    <row r="4" spans="2:14" ht="15" customHeight="1" thickBot="1">
      <c r="B4" s="213"/>
      <c r="C4" s="736" t="s">
        <v>84</v>
      </c>
      <c r="D4" s="737"/>
      <c r="E4" s="214"/>
      <c r="G4" s="213"/>
      <c r="H4" s="736" t="s">
        <v>85</v>
      </c>
      <c r="I4" s="737"/>
      <c r="J4" s="214"/>
    </row>
    <row r="5" spans="2:14" ht="15" customHeight="1" thickBot="1">
      <c r="B5" s="213"/>
      <c r="C5" s="319"/>
      <c r="D5" s="319"/>
      <c r="E5" s="214"/>
      <c r="G5" s="213"/>
      <c r="H5" s="9"/>
      <c r="I5" s="9"/>
      <c r="J5" s="214"/>
    </row>
    <row r="6" spans="2:14" ht="15" customHeight="1" thickBot="1">
      <c r="B6" s="213"/>
      <c r="C6" s="218" t="s">
        <v>2</v>
      </c>
      <c r="D6" s="219"/>
      <c r="E6" s="214"/>
      <c r="G6" s="213"/>
      <c r="H6" s="218" t="s">
        <v>2</v>
      </c>
      <c r="I6" s="219"/>
      <c r="J6" s="214"/>
    </row>
    <row r="7" spans="2:14" ht="15" customHeight="1" thickBot="1">
      <c r="B7" s="213"/>
      <c r="C7" s="218" t="s">
        <v>18</v>
      </c>
      <c r="D7" s="220"/>
      <c r="E7" s="214"/>
      <c r="G7" s="213"/>
      <c r="H7" s="218" t="s">
        <v>86</v>
      </c>
      <c r="I7" s="249"/>
      <c r="J7" s="214"/>
      <c r="L7" s="738" t="s">
        <v>87</v>
      </c>
      <c r="M7" s="739"/>
      <c r="N7" s="740"/>
    </row>
    <row r="8" spans="2:14" ht="15" customHeight="1" thickBot="1">
      <c r="B8" s="213"/>
      <c r="C8" s="218" t="s">
        <v>6</v>
      </c>
      <c r="D8" s="219"/>
      <c r="E8" s="214"/>
      <c r="G8" s="213"/>
      <c r="H8" s="218" t="s">
        <v>51</v>
      </c>
      <c r="I8" s="219"/>
      <c r="J8" s="214"/>
      <c r="L8" s="741"/>
      <c r="M8" s="742"/>
      <c r="N8" s="743"/>
    </row>
    <row r="9" spans="2:14" ht="15" customHeight="1" thickBot="1">
      <c r="B9" s="213"/>
      <c r="C9" s="336"/>
      <c r="D9" s="337"/>
      <c r="E9" s="214"/>
      <c r="G9" s="213"/>
      <c r="H9" s="250"/>
      <c r="I9" s="255"/>
      <c r="J9" s="214"/>
      <c r="L9" s="744"/>
      <c r="M9" s="745"/>
      <c r="N9" s="746"/>
    </row>
    <row r="10" spans="2:14" ht="15" customHeight="1" thickBot="1">
      <c r="B10" s="213"/>
      <c r="C10" s="223" t="s">
        <v>9</v>
      </c>
      <c r="D10" s="320">
        <v>7.5</v>
      </c>
      <c r="E10" s="214"/>
      <c r="G10" s="213"/>
      <c r="H10" s="223" t="s">
        <v>9</v>
      </c>
      <c r="I10" s="320">
        <v>7.5</v>
      </c>
      <c r="J10" s="214"/>
    </row>
    <row r="11" spans="2:14" ht="15" customHeight="1" thickBot="1">
      <c r="B11" s="213"/>
      <c r="C11" s="218" t="s">
        <v>10</v>
      </c>
      <c r="D11" s="400">
        <f>MIN(D6*D10, 300)</f>
        <v>0</v>
      </c>
      <c r="E11" s="214"/>
      <c r="G11" s="213"/>
      <c r="H11" s="218" t="s">
        <v>10</v>
      </c>
      <c r="I11" s="400">
        <f>MIN(I6*I10, 300)</f>
        <v>0</v>
      </c>
      <c r="J11" s="214"/>
    </row>
    <row r="12" spans="2:14" ht="15" customHeight="1" thickBot="1">
      <c r="B12" s="213"/>
      <c r="C12" s="221" t="s">
        <v>11</v>
      </c>
      <c r="D12" s="226">
        <f>D7*D8</f>
        <v>0</v>
      </c>
      <c r="E12" s="214"/>
      <c r="G12" s="213"/>
      <c r="H12" s="221" t="s">
        <v>11</v>
      </c>
      <c r="I12" s="226">
        <f>I7*I8</f>
        <v>0</v>
      </c>
      <c r="J12" s="214"/>
    </row>
    <row r="13" spans="2:14" ht="15" customHeight="1" thickBot="1">
      <c r="B13" s="213"/>
      <c r="C13" s="227" t="s">
        <v>12</v>
      </c>
      <c r="D13" s="225" t="e">
        <f>D12/D6</f>
        <v>#DIV/0!</v>
      </c>
      <c r="E13" s="214"/>
      <c r="G13" s="213"/>
      <c r="H13" s="227" t="s">
        <v>12</v>
      </c>
      <c r="I13" s="225" t="e">
        <f>I12/I6</f>
        <v>#DIV/0!</v>
      </c>
      <c r="J13" s="214"/>
    </row>
    <row r="14" spans="2:14" ht="15" customHeight="1" thickBot="1">
      <c r="B14" s="213"/>
      <c r="C14" s="228" t="s">
        <v>13</v>
      </c>
      <c r="D14" s="229" t="e">
        <f>D11/D7</f>
        <v>#DIV/0!</v>
      </c>
      <c r="E14" s="214"/>
      <c r="G14" s="213"/>
      <c r="H14" s="228" t="s">
        <v>14</v>
      </c>
      <c r="I14" s="229" t="e">
        <f>I11/I7</f>
        <v>#DIV/0!</v>
      </c>
      <c r="J14" s="214"/>
    </row>
    <row r="15" spans="2:14" ht="15" customHeight="1" thickBot="1">
      <c r="B15" s="215"/>
      <c r="C15" s="216"/>
      <c r="D15" s="216"/>
      <c r="E15" s="217"/>
      <c r="G15" s="215"/>
      <c r="H15" s="216"/>
      <c r="I15" s="216"/>
      <c r="J15" s="217"/>
    </row>
    <row r="16" spans="2:14" ht="15" customHeight="1" thickBot="1"/>
    <row r="17" spans="4:8" ht="15" customHeight="1" thickBot="1">
      <c r="D17" s="747" t="s">
        <v>88</v>
      </c>
      <c r="E17" s="748"/>
      <c r="F17" s="748"/>
      <c r="G17" s="748"/>
      <c r="H17" s="749"/>
    </row>
    <row r="18" spans="4:8" ht="15" customHeight="1"/>
    <row r="19" spans="4:8" ht="15" customHeight="1"/>
    <row r="20" spans="4:8" ht="15" customHeight="1"/>
    <row r="21" spans="4:8" ht="15" customHeight="1">
      <c r="F21" s="147"/>
      <c r="G21" s="147"/>
    </row>
    <row r="22" spans="4:8" ht="15" customHeight="1">
      <c r="F22" s="147"/>
      <c r="G22" s="147"/>
    </row>
    <row r="23" spans="4:8" ht="15" customHeight="1"/>
    <row r="24" spans="4:8" ht="15" customHeight="1"/>
    <row r="25" spans="4:8" ht="15" customHeight="1"/>
    <row r="26" spans="4:8" ht="15" customHeight="1"/>
    <row r="27" spans="4:8" ht="15" customHeight="1"/>
    <row r="28" spans="4:8" ht="15" customHeight="1"/>
    <row r="29" spans="4:8" ht="15" customHeight="1"/>
    <row r="30" spans="4:8" ht="15" customHeight="1"/>
  </sheetData>
  <sheetProtection algorithmName="SHA-512" hashValue="K7TA9xoTEZN153FuRYzX7nIB5ToR4EX25Y1HHBQZBoxCmwiUrjhhVoH+shHgUyBHge+NyrIe66cKvUMU863qoQ==" saltValue="jT69h95APwD7GhtIFTqLKg==" spinCount="100000" sheet="1" selectLockedCells="1"/>
  <mergeCells count="4">
    <mergeCell ref="H4:I4"/>
    <mergeCell ref="C4:D4"/>
    <mergeCell ref="L7:N9"/>
    <mergeCell ref="D17:H17"/>
  </mergeCells>
  <conditionalFormatting sqref="D13">
    <cfRule type="cellIs" dxfId="26" priority="2" operator="greaterThanOrEqual">
      <formula>7.5</formula>
    </cfRule>
  </conditionalFormatting>
  <conditionalFormatting sqref="I13">
    <cfRule type="cellIs" dxfId="25" priority="1" operator="greaterThanOrEqual">
      <formula>7.5</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tabColor theme="9" tint="0.39997558519241921"/>
  </sheetPr>
  <dimension ref="B1:E10"/>
  <sheetViews>
    <sheetView zoomScale="110" zoomScaleNormal="110" workbookViewId="0">
      <selection activeCell="D7" sqref="D7"/>
    </sheetView>
  </sheetViews>
  <sheetFormatPr defaultRowHeight="14.45"/>
  <cols>
    <col min="1" max="2" width="4.42578125" customWidth="1"/>
    <col min="3" max="3" width="43" bestFit="1" customWidth="1"/>
    <col min="5" max="5" width="4.42578125" customWidth="1"/>
  </cols>
  <sheetData>
    <row r="1" spans="2:5" ht="19.149999999999999" customHeight="1"/>
    <row r="2" spans="2:5" ht="15" customHeight="1" thickBot="1"/>
    <row r="3" spans="2:5" ht="15" customHeight="1" thickBot="1">
      <c r="B3" s="256"/>
      <c r="C3" s="257"/>
      <c r="D3" s="257"/>
      <c r="E3" s="258"/>
    </row>
    <row r="4" spans="2:5" ht="15" customHeight="1" thickBot="1">
      <c r="B4" s="259"/>
      <c r="C4" s="750" t="s">
        <v>89</v>
      </c>
      <c r="D4" s="751"/>
      <c r="E4" s="321"/>
    </row>
    <row r="5" spans="2:5" ht="15" customHeight="1" thickBot="1">
      <c r="B5" s="259"/>
      <c r="C5" s="752" t="s">
        <v>90</v>
      </c>
      <c r="D5" s="753"/>
      <c r="E5" s="261"/>
    </row>
    <row r="6" spans="2:5" ht="15" customHeight="1" thickBot="1">
      <c r="B6" s="259"/>
      <c r="C6" s="260"/>
      <c r="D6" s="260"/>
      <c r="E6" s="261"/>
    </row>
    <row r="7" spans="2:5" ht="15" customHeight="1" thickBot="1">
      <c r="B7" s="259"/>
      <c r="C7" s="322" t="s">
        <v>91</v>
      </c>
      <c r="D7" s="323"/>
      <c r="E7" s="261"/>
    </row>
    <row r="8" spans="2:5" ht="15" customHeight="1" thickBot="1">
      <c r="B8" s="259"/>
      <c r="C8" s="324" t="s">
        <v>92</v>
      </c>
      <c r="D8" s="325"/>
      <c r="E8" s="261"/>
    </row>
    <row r="9" spans="2:5" ht="15" customHeight="1" thickBot="1">
      <c r="B9" s="259"/>
      <c r="C9" s="228" t="s">
        <v>14</v>
      </c>
      <c r="D9" s="228" t="e">
        <f>D7*15/D8</f>
        <v>#DIV/0!</v>
      </c>
      <c r="E9" s="261"/>
    </row>
    <row r="10" spans="2:5" ht="15" customHeight="1" thickBot="1">
      <c r="B10" s="262"/>
      <c r="C10" s="263"/>
      <c r="D10" s="263"/>
      <c r="E10" s="264"/>
    </row>
  </sheetData>
  <sheetProtection algorithmName="SHA-512" hashValue="a2xcCmhZmlrTZSjcC/uUb24wh/UhRpadBWdIYsbKX5xY6G9W7+D3YpBuAuI1pks1SLNz1XSkXfpqsWNhtKvkXQ==" saltValue="BZNPMqjaZsXrF+gayo9Y/A==" spinCount="100000" sheet="1" objects="1" scenarios="1" selectLockedCells="1"/>
  <mergeCells count="2">
    <mergeCell ref="C4:D4"/>
    <mergeCell ref="C5:D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9" tint="0.39997558519241921"/>
  </sheetPr>
  <dimension ref="B1:K16"/>
  <sheetViews>
    <sheetView zoomScale="110" zoomScaleNormal="110" workbookViewId="0">
      <selection activeCell="D6" sqref="D6"/>
    </sheetView>
  </sheetViews>
  <sheetFormatPr defaultColWidth="9" defaultRowHeight="18.2" customHeight="1"/>
  <cols>
    <col min="1" max="2" width="4.42578125" style="3" customWidth="1"/>
    <col min="3" max="3" width="33.42578125" style="3" bestFit="1" customWidth="1"/>
    <col min="4" max="4" width="11" style="3" customWidth="1"/>
    <col min="5" max="6" width="4.42578125" style="3" customWidth="1"/>
    <col min="7" max="10" width="9" style="3"/>
    <col min="11" max="11" width="5.140625" style="3" customWidth="1"/>
    <col min="12" max="16384" width="9" style="3"/>
  </cols>
  <sheetData>
    <row r="1" spans="2:11" ht="19.149999999999999" customHeight="1"/>
    <row r="2" spans="2:11" ht="15" customHeight="1" thickBot="1"/>
    <row r="3" spans="2:11" ht="15" customHeight="1" thickBot="1">
      <c r="B3" s="237"/>
      <c r="C3" s="211"/>
      <c r="D3" s="211"/>
      <c r="E3" s="212"/>
    </row>
    <row r="4" spans="2:11" ht="15" customHeight="1" thickBot="1">
      <c r="B4" s="240"/>
      <c r="C4" s="695" t="s">
        <v>93</v>
      </c>
      <c r="D4" s="696"/>
      <c r="E4" s="214"/>
    </row>
    <row r="5" spans="2:11" ht="15" customHeight="1" thickBot="1">
      <c r="B5" s="240"/>
      <c r="C5" s="241"/>
      <c r="D5" s="241"/>
      <c r="E5" s="214"/>
    </row>
    <row r="6" spans="2:11" ht="15" customHeight="1" thickBot="1">
      <c r="B6" s="240"/>
      <c r="C6" s="304" t="s">
        <v>2</v>
      </c>
      <c r="D6" s="306"/>
      <c r="E6" s="242"/>
    </row>
    <row r="7" spans="2:11" ht="15" customHeight="1" thickBot="1">
      <c r="B7" s="240"/>
      <c r="C7" s="307" t="s">
        <v>94</v>
      </c>
      <c r="D7" s="280"/>
      <c r="E7" s="242"/>
    </row>
    <row r="8" spans="2:11" ht="15" customHeight="1" thickBot="1">
      <c r="B8" s="240"/>
      <c r="C8" s="307" t="s">
        <v>54</v>
      </c>
      <c r="D8" s="280"/>
      <c r="E8" s="242"/>
    </row>
    <row r="9" spans="2:11" ht="15" customHeight="1" thickBot="1">
      <c r="B9" s="240"/>
      <c r="C9" s="308"/>
      <c r="D9" s="301"/>
      <c r="E9" s="242"/>
    </row>
    <row r="10" spans="2:11" ht="15" customHeight="1" thickBot="1">
      <c r="B10" s="240"/>
      <c r="C10" s="309" t="s">
        <v>95</v>
      </c>
      <c r="D10" s="310">
        <v>1</v>
      </c>
      <c r="E10" s="326"/>
      <c r="G10" s="754" t="s">
        <v>96</v>
      </c>
      <c r="H10" s="755"/>
      <c r="I10" s="755"/>
      <c r="J10" s="756"/>
    </row>
    <row r="11" spans="2:11" ht="15" customHeight="1" thickBot="1">
      <c r="B11" s="327"/>
      <c r="C11" s="304" t="s">
        <v>97</v>
      </c>
      <c r="D11" s="311">
        <f>D10*D6</f>
        <v>0</v>
      </c>
      <c r="E11" s="242"/>
    </row>
    <row r="12" spans="2:11" ht="15" customHeight="1" thickBot="1">
      <c r="B12" s="240"/>
      <c r="C12" s="312" t="s">
        <v>98</v>
      </c>
      <c r="D12" s="311">
        <f>D7/100</f>
        <v>0</v>
      </c>
      <c r="E12" s="242"/>
      <c r="G12" s="754" t="s">
        <v>99</v>
      </c>
      <c r="H12" s="755"/>
      <c r="I12" s="755"/>
      <c r="J12" s="755"/>
      <c r="K12" s="756"/>
    </row>
    <row r="13" spans="2:11" ht="15" customHeight="1" thickBot="1">
      <c r="B13" s="240"/>
      <c r="C13" s="314" t="s">
        <v>100</v>
      </c>
      <c r="D13" s="315">
        <f>D12*D8</f>
        <v>0</v>
      </c>
      <c r="E13" s="242"/>
    </row>
    <row r="14" spans="2:11" ht="15" customHeight="1" thickBot="1">
      <c r="B14" s="327"/>
      <c r="C14" s="316" t="s">
        <v>101</v>
      </c>
      <c r="D14" s="317" t="e">
        <f>D13/D6</f>
        <v>#DIV/0!</v>
      </c>
      <c r="E14" s="242"/>
    </row>
    <row r="15" spans="2:11" ht="15" customHeight="1" thickBot="1">
      <c r="B15" s="240"/>
      <c r="C15" s="328" t="s">
        <v>60</v>
      </c>
      <c r="D15" s="329" t="e">
        <f>D11/D12</f>
        <v>#DIV/0!</v>
      </c>
      <c r="E15" s="242"/>
    </row>
    <row r="16" spans="2:11" ht="15" customHeight="1" thickBot="1">
      <c r="B16" s="246"/>
      <c r="C16" s="247"/>
      <c r="D16" s="247"/>
      <c r="E16" s="217"/>
    </row>
  </sheetData>
  <sheetProtection algorithmName="SHA-512" hashValue="aCHW3Bh4dbJ9KoWJf4hCSfQ29nq60qsH/Ql9EZfrL2mEPR0dxwIhrl/YF6FjwXvy6e3sv8e2q8uMxueFgI/wbQ==" saltValue="tAAe74TY456cLf9yeq+Xvw==" spinCount="100000" sheet="1" selectLockedCells="1"/>
  <mergeCells count="3">
    <mergeCell ref="C4:D4"/>
    <mergeCell ref="G10:J10"/>
    <mergeCell ref="G12:K12"/>
  </mergeCells>
  <phoneticPr fontId="39" type="noConversion"/>
  <pageMargins left="0.7" right="0.7" top="0.75" bottom="0.75" header="0.3" footer="0.3"/>
  <pageSetup orientation="portrait" r:id="rId1"/>
  <ignoredErrors>
    <ignoredError sqref="D12"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theme="9" tint="0.39997558519241921"/>
  </sheetPr>
  <dimension ref="B1:I23"/>
  <sheetViews>
    <sheetView zoomScale="115" zoomScaleNormal="115" workbookViewId="0">
      <selection activeCell="D7" sqref="D7"/>
    </sheetView>
  </sheetViews>
  <sheetFormatPr defaultColWidth="9" defaultRowHeight="15" customHeight="1"/>
  <cols>
    <col min="1" max="1" width="3.42578125" style="2" customWidth="1"/>
    <col min="2" max="2" width="4.42578125" style="2" customWidth="1"/>
    <col min="3" max="3" width="34.42578125" style="2" customWidth="1"/>
    <col min="4" max="4" width="13.42578125" style="2" customWidth="1"/>
    <col min="5" max="6" width="4.42578125" style="2" customWidth="1"/>
    <col min="7" max="9" width="10.85546875" style="2" customWidth="1"/>
    <col min="10" max="16384" width="9" style="2"/>
  </cols>
  <sheetData>
    <row r="1" spans="2:9" customFormat="1" ht="19.149999999999999" customHeight="1"/>
    <row r="2" spans="2:9" customFormat="1" thickBot="1"/>
    <row r="3" spans="2:9" customFormat="1" thickBot="1">
      <c r="B3" s="256"/>
      <c r="C3" s="257"/>
      <c r="D3" s="257"/>
      <c r="E3" s="258"/>
    </row>
    <row r="4" spans="2:9" customFormat="1" ht="14.45">
      <c r="B4" s="259"/>
      <c r="C4" s="757" t="s">
        <v>102</v>
      </c>
      <c r="D4" s="758"/>
      <c r="E4" s="261"/>
    </row>
    <row r="5" spans="2:9" customFormat="1" thickBot="1">
      <c r="B5" s="259"/>
      <c r="C5" s="677" t="s">
        <v>103</v>
      </c>
      <c r="D5" s="679"/>
      <c r="E5" s="261"/>
    </row>
    <row r="6" spans="2:9" customFormat="1" thickBot="1">
      <c r="B6" s="259"/>
      <c r="C6" s="260"/>
      <c r="D6" s="260"/>
      <c r="E6" s="261"/>
    </row>
    <row r="7" spans="2:9" customFormat="1" ht="15" customHeight="1" thickBot="1">
      <c r="B7" s="259"/>
      <c r="C7" s="265" t="s">
        <v>25</v>
      </c>
      <c r="D7" s="249"/>
      <c r="E7" s="261"/>
    </row>
    <row r="8" spans="2:9" customFormat="1" thickBot="1">
      <c r="B8" s="259"/>
      <c r="C8" s="265" t="s">
        <v>104</v>
      </c>
      <c r="D8" s="249"/>
      <c r="E8" s="261"/>
    </row>
    <row r="9" spans="2:9" customFormat="1" thickBot="1">
      <c r="B9" s="259"/>
      <c r="C9" s="265" t="s">
        <v>105</v>
      </c>
      <c r="D9" s="330"/>
      <c r="E9" s="261"/>
      <c r="G9" s="762" t="s">
        <v>106</v>
      </c>
      <c r="H9" s="763"/>
      <c r="I9" s="764"/>
    </row>
    <row r="10" spans="2:9" customFormat="1" thickBot="1">
      <c r="B10" s="259"/>
      <c r="C10" s="265" t="s">
        <v>107</v>
      </c>
      <c r="D10" s="330"/>
      <c r="E10" s="261"/>
      <c r="G10" s="762" t="s">
        <v>108</v>
      </c>
      <c r="H10" s="763"/>
      <c r="I10" s="764"/>
    </row>
    <row r="11" spans="2:9" customFormat="1" thickBot="1">
      <c r="B11" s="259"/>
      <c r="C11" s="265" t="s">
        <v>109</v>
      </c>
      <c r="D11" s="330"/>
      <c r="E11" s="261"/>
      <c r="G11" s="762" t="s">
        <v>110</v>
      </c>
      <c r="H11" s="763"/>
      <c r="I11" s="764"/>
    </row>
    <row r="12" spans="2:9" customFormat="1" thickBot="1">
      <c r="B12" s="259"/>
      <c r="C12" s="267"/>
      <c r="D12" s="335"/>
      <c r="E12" s="261"/>
      <c r="G12" s="145"/>
      <c r="H12" s="145"/>
      <c r="I12" s="145"/>
    </row>
    <row r="13" spans="2:9" customFormat="1" ht="15" customHeight="1" thickBot="1">
      <c r="B13" s="259"/>
      <c r="C13" s="269" t="s">
        <v>111</v>
      </c>
      <c r="D13" s="331">
        <v>5</v>
      </c>
      <c r="E13" s="261"/>
      <c r="G13" s="771" t="s">
        <v>112</v>
      </c>
      <c r="H13" s="772"/>
      <c r="I13" s="773"/>
    </row>
    <row r="14" spans="2:9" customFormat="1" thickBot="1">
      <c r="B14" s="259"/>
      <c r="C14" s="265" t="s">
        <v>10</v>
      </c>
      <c r="D14" s="271">
        <f>D13*D7</f>
        <v>0</v>
      </c>
      <c r="E14" s="261"/>
      <c r="G14" s="774"/>
      <c r="H14" s="775"/>
      <c r="I14" s="776"/>
    </row>
    <row r="15" spans="2:9" customFormat="1" thickBot="1">
      <c r="B15" s="259"/>
      <c r="C15" s="221" t="s">
        <v>113</v>
      </c>
      <c r="D15" s="272">
        <f>(D9*D8*128)+(D10*D8*37)+(D11*D8*69)</f>
        <v>0</v>
      </c>
      <c r="E15" s="261"/>
      <c r="G15" s="410"/>
      <c r="H15" s="410"/>
      <c r="I15" s="410"/>
    </row>
    <row r="16" spans="2:9" customFormat="1" thickBot="1">
      <c r="B16" s="259"/>
      <c r="C16" s="227" t="s">
        <v>114</v>
      </c>
      <c r="D16" s="273" t="e">
        <f>((D9*D8*128)+(D10*D8*37)+(D11*D8*69))/D7</f>
        <v>#DIV/0!</v>
      </c>
      <c r="E16" s="261"/>
    </row>
    <row r="17" spans="2:5" customFormat="1" thickBot="1">
      <c r="B17" s="259"/>
      <c r="C17" s="332" t="s">
        <v>115</v>
      </c>
      <c r="D17" s="274" t="e">
        <f>(D7*5)/((D9*128)+(D10*37)+(D11*69))</f>
        <v>#DIV/0!</v>
      </c>
      <c r="E17" s="261"/>
    </row>
    <row r="18" spans="2:5" customFormat="1" thickBot="1">
      <c r="B18" s="259"/>
      <c r="C18" s="333" t="s">
        <v>116</v>
      </c>
      <c r="D18" s="334" t="e">
        <f>D17*28.35</f>
        <v>#DIV/0!</v>
      </c>
      <c r="E18" s="261"/>
    </row>
    <row r="19" spans="2:5" customFormat="1" thickBot="1">
      <c r="B19" s="262"/>
      <c r="C19" s="263"/>
      <c r="D19" s="263"/>
      <c r="E19" s="264"/>
    </row>
    <row r="20" spans="2:5" ht="15" customHeight="1" thickBot="1"/>
    <row r="21" spans="2:5" ht="15" customHeight="1">
      <c r="B21" s="759" t="s">
        <v>117</v>
      </c>
      <c r="C21" s="760"/>
      <c r="D21" s="760"/>
      <c r="E21" s="761"/>
    </row>
    <row r="22" spans="2:5" ht="14.45" customHeight="1">
      <c r="B22" s="765" t="s">
        <v>118</v>
      </c>
      <c r="C22" s="766"/>
      <c r="D22" s="766"/>
      <c r="E22" s="767"/>
    </row>
    <row r="23" spans="2:5" ht="15" customHeight="1" thickBot="1">
      <c r="B23" s="768"/>
      <c r="C23" s="769"/>
      <c r="D23" s="769"/>
      <c r="E23" s="770"/>
    </row>
  </sheetData>
  <sheetProtection algorithmName="SHA-512" hashValue="/8vfneiOTvbkXkgKvV6NzEgiKPdReAPci5ZQBroMRKutXa60Kt9ZBgbZMh5o7xk1+1Zz2ljwskPZjOzI9INcPQ==" saltValue="8Mi+Zu9/LCvV90+I21GQLg==" spinCount="100000" sheet="1" selectLockedCells="1"/>
  <mergeCells count="8">
    <mergeCell ref="B22:E23"/>
    <mergeCell ref="G13:I14"/>
    <mergeCell ref="C4:D4"/>
    <mergeCell ref="C5:D5"/>
    <mergeCell ref="B21:E21"/>
    <mergeCell ref="G9:I9"/>
    <mergeCell ref="G10:I10"/>
    <mergeCell ref="G11:I1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theme="9" tint="0.39997558519241921"/>
  </sheetPr>
  <dimension ref="B1:K17"/>
  <sheetViews>
    <sheetView zoomScale="115" zoomScaleNormal="115" workbookViewId="0">
      <selection activeCell="D6" sqref="D6"/>
    </sheetView>
  </sheetViews>
  <sheetFormatPr defaultColWidth="9" defaultRowHeight="18.2" customHeight="1"/>
  <cols>
    <col min="1" max="2" width="4.42578125" style="3" customWidth="1"/>
    <col min="3" max="3" width="35.42578125" style="3" bestFit="1" customWidth="1"/>
    <col min="4" max="4" width="12.42578125" style="3" bestFit="1" customWidth="1"/>
    <col min="5" max="6" width="4.42578125" style="3" customWidth="1"/>
    <col min="7" max="7" width="7.5703125" style="3" customWidth="1"/>
    <col min="8" max="16384" width="9" style="3"/>
  </cols>
  <sheetData>
    <row r="1" spans="2:11" ht="14.45"/>
    <row r="2" spans="2:11" ht="15" customHeight="1" thickBot="1"/>
    <row r="3" spans="2:11" ht="15" customHeight="1" thickBot="1">
      <c r="B3" s="237"/>
      <c r="C3" s="238"/>
      <c r="D3" s="238"/>
      <c r="E3" s="239"/>
    </row>
    <row r="4" spans="2:11" ht="15" customHeight="1" thickBot="1">
      <c r="B4" s="240"/>
      <c r="C4" s="777" t="s">
        <v>119</v>
      </c>
      <c r="D4" s="778"/>
      <c r="E4" s="242"/>
    </row>
    <row r="5" spans="2:11" ht="15" customHeight="1" thickBot="1">
      <c r="B5" s="240"/>
      <c r="C5" s="277"/>
      <c r="D5" s="241"/>
      <c r="E5" s="242"/>
    </row>
    <row r="6" spans="2:11" ht="15" customHeight="1" thickBot="1">
      <c r="B6" s="240"/>
      <c r="C6" s="218" t="s">
        <v>2</v>
      </c>
      <c r="D6" s="278"/>
      <c r="E6" s="242"/>
    </row>
    <row r="7" spans="2:11" ht="15" customHeight="1" thickBot="1">
      <c r="B7" s="240"/>
      <c r="C7" s="279" t="s">
        <v>53</v>
      </c>
      <c r="D7" s="280"/>
      <c r="E7" s="242"/>
    </row>
    <row r="8" spans="2:11" ht="15" customHeight="1" thickBot="1">
      <c r="B8" s="240"/>
      <c r="C8" s="279" t="s">
        <v>54</v>
      </c>
      <c r="D8" s="281"/>
      <c r="E8" s="242"/>
    </row>
    <row r="9" spans="2:11" ht="15" customHeight="1" thickBot="1">
      <c r="B9" s="240"/>
      <c r="C9" s="282"/>
      <c r="D9" s="283"/>
      <c r="E9" s="242"/>
    </row>
    <row r="10" spans="2:11" ht="15" customHeight="1" thickBot="1">
      <c r="B10" s="240"/>
      <c r="C10" s="223" t="s">
        <v>9</v>
      </c>
      <c r="D10" s="284">
        <v>0.4</v>
      </c>
      <c r="E10" s="242"/>
    </row>
    <row r="11" spans="2:11" ht="15" customHeight="1" thickBot="1">
      <c r="B11" s="240"/>
      <c r="C11" s="218" t="s">
        <v>10</v>
      </c>
      <c r="D11" s="285">
        <f>D10*D6</f>
        <v>0</v>
      </c>
      <c r="E11" s="242"/>
    </row>
    <row r="12" spans="2:11" ht="15" customHeight="1" thickBot="1">
      <c r="B12" s="240"/>
      <c r="C12" s="286" t="s">
        <v>56</v>
      </c>
      <c r="D12" s="285">
        <f>D7/100*1000</f>
        <v>0</v>
      </c>
      <c r="E12" s="242"/>
      <c r="G12" s="754" t="s">
        <v>68</v>
      </c>
      <c r="H12" s="755"/>
      <c r="I12" s="755"/>
      <c r="J12" s="755"/>
      <c r="K12" s="756"/>
    </row>
    <row r="13" spans="2:11" ht="15" customHeight="1" thickBot="1">
      <c r="B13" s="240"/>
      <c r="C13" s="287" t="s">
        <v>69</v>
      </c>
      <c r="D13" s="288">
        <f>D12*D8</f>
        <v>0</v>
      </c>
      <c r="E13" s="242"/>
    </row>
    <row r="14" spans="2:11" ht="15" customHeight="1" thickBot="1">
      <c r="B14" s="240"/>
      <c r="C14" s="289" t="s">
        <v>59</v>
      </c>
      <c r="D14" s="290" t="e">
        <f>D13/D6</f>
        <v>#DIV/0!</v>
      </c>
      <c r="E14" s="242"/>
    </row>
    <row r="15" spans="2:11" ht="15" customHeight="1" thickBot="1">
      <c r="B15" s="240"/>
      <c r="C15" s="291" t="s">
        <v>60</v>
      </c>
      <c r="D15" s="292" t="e">
        <f>D11/D12</f>
        <v>#DIV/0!</v>
      </c>
      <c r="E15" s="242"/>
    </row>
    <row r="16" spans="2:11" ht="14.25" customHeight="1" thickBot="1">
      <c r="B16" s="246"/>
      <c r="C16" s="247"/>
      <c r="D16" s="247"/>
      <c r="E16" s="248"/>
    </row>
    <row r="17" ht="14.25" customHeight="1"/>
  </sheetData>
  <sheetProtection algorithmName="SHA-512" hashValue="Yqmr++L9+vMUgoYBLkklHECqkfmR4wlrDk46jdeMFCf+/e3oQnWPs9hmbhL5Ot71rhlWuhEtsPI/02TFYCN1MQ==" saltValue="rS1Sla47GFnyIxXjNpQNZg==" spinCount="100000" sheet="1" selectLockedCells="1"/>
  <mergeCells count="2">
    <mergeCell ref="C4:D4"/>
    <mergeCell ref="G12:K12"/>
  </mergeCells>
  <pageMargins left="0.7" right="0.7" top="0.75" bottom="0.75" header="0.3" footer="0.3"/>
  <pageSetup orientation="portrait" r:id="rId1"/>
  <ignoredErrors>
    <ignoredError sqref="D12"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9" tint="0.39997558519241921"/>
  </sheetPr>
  <dimension ref="B1:J17"/>
  <sheetViews>
    <sheetView zoomScale="110" zoomScaleNormal="110" workbookViewId="0">
      <selection activeCell="D7" sqref="D7"/>
    </sheetView>
  </sheetViews>
  <sheetFormatPr defaultColWidth="9" defaultRowHeight="18.2" customHeight="1"/>
  <cols>
    <col min="1" max="2" width="4.42578125" style="3" customWidth="1"/>
    <col min="3" max="3" width="35.28515625" style="3" bestFit="1" customWidth="1"/>
    <col min="4" max="4" width="12.42578125" style="3" customWidth="1"/>
    <col min="5" max="6" width="4.42578125" style="3" customWidth="1"/>
    <col min="7" max="16384" width="9" style="3"/>
  </cols>
  <sheetData>
    <row r="1" spans="2:10" ht="15" customHeight="1"/>
    <row r="2" spans="2:10" ht="14.45"/>
    <row r="3" spans="2:10" ht="15" customHeight="1" thickBot="1"/>
    <row r="4" spans="2:10" ht="15" customHeight="1" thickBot="1">
      <c r="B4" s="237"/>
      <c r="C4" s="211"/>
      <c r="D4" s="211"/>
      <c r="E4" s="212"/>
    </row>
    <row r="5" spans="2:10" ht="15" customHeight="1" thickBot="1">
      <c r="B5" s="240"/>
      <c r="C5" s="779" t="s">
        <v>120</v>
      </c>
      <c r="D5" s="780"/>
      <c r="E5" s="214"/>
    </row>
    <row r="6" spans="2:10" ht="15" customHeight="1" thickBot="1">
      <c r="B6" s="240"/>
      <c r="C6" s="241"/>
      <c r="D6" s="241"/>
      <c r="E6" s="214"/>
    </row>
    <row r="7" spans="2:10" ht="15" customHeight="1" thickBot="1">
      <c r="B7" s="240"/>
      <c r="C7" s="304" t="s">
        <v>2</v>
      </c>
      <c r="D7" s="278"/>
      <c r="E7" s="242"/>
    </row>
    <row r="8" spans="2:10" ht="15" customHeight="1" thickBot="1">
      <c r="B8" s="240"/>
      <c r="C8" s="307" t="s">
        <v>121</v>
      </c>
      <c r="D8" s="281"/>
      <c r="E8" s="242"/>
    </row>
    <row r="9" spans="2:10" ht="15" customHeight="1" thickBot="1">
      <c r="B9" s="240"/>
      <c r="C9" s="307" t="s">
        <v>54</v>
      </c>
      <c r="D9" s="281"/>
      <c r="E9" s="242"/>
    </row>
    <row r="10" spans="2:10" ht="15" customHeight="1" thickBot="1">
      <c r="B10" s="240"/>
      <c r="C10" s="308"/>
      <c r="D10" s="283"/>
      <c r="E10" s="242"/>
    </row>
    <row r="11" spans="2:10" ht="15" customHeight="1" thickBot="1">
      <c r="B11" s="240"/>
      <c r="C11" s="309" t="s">
        <v>95</v>
      </c>
      <c r="D11" s="284">
        <v>0.5</v>
      </c>
      <c r="E11" s="326"/>
      <c r="G11" s="781" t="s">
        <v>122</v>
      </c>
      <c r="H11" s="782"/>
      <c r="I11" s="782"/>
      <c r="J11" s="783"/>
    </row>
    <row r="12" spans="2:10" ht="15" customHeight="1" thickBot="1">
      <c r="B12" s="240"/>
      <c r="C12" s="304" t="s">
        <v>97</v>
      </c>
      <c r="D12" s="285">
        <f>D11*D7</f>
        <v>0</v>
      </c>
      <c r="E12" s="242"/>
      <c r="G12" s="146"/>
      <c r="H12" s="146"/>
      <c r="I12" s="146"/>
      <c r="J12" s="146"/>
    </row>
    <row r="13" spans="2:10" ht="15" customHeight="1" thickBot="1">
      <c r="B13" s="240"/>
      <c r="C13" s="312" t="s">
        <v>123</v>
      </c>
      <c r="D13" s="311">
        <f>D8/100</f>
        <v>0</v>
      </c>
      <c r="E13" s="242"/>
      <c r="G13" s="781" t="s">
        <v>124</v>
      </c>
      <c r="H13" s="782"/>
      <c r="I13" s="782"/>
      <c r="J13" s="783"/>
    </row>
    <row r="14" spans="2:10" ht="15" customHeight="1" thickBot="1">
      <c r="B14" s="240"/>
      <c r="C14" s="314" t="s">
        <v>125</v>
      </c>
      <c r="D14" s="288">
        <f>D13*D9</f>
        <v>0</v>
      </c>
      <c r="E14" s="242"/>
    </row>
    <row r="15" spans="2:10" ht="15" customHeight="1" thickBot="1">
      <c r="B15" s="327"/>
      <c r="C15" s="316" t="s">
        <v>126</v>
      </c>
      <c r="D15" s="290" t="e">
        <f>D14/D7</f>
        <v>#DIV/0!</v>
      </c>
      <c r="E15" s="242"/>
    </row>
    <row r="16" spans="2:10" ht="15" customHeight="1" thickBot="1">
      <c r="B16" s="240"/>
      <c r="C16" s="328" t="s">
        <v>60</v>
      </c>
      <c r="D16" s="338" t="e">
        <f>D12/D13</f>
        <v>#DIV/0!</v>
      </c>
      <c r="E16" s="242"/>
    </row>
    <row r="17" spans="2:5" ht="15" customHeight="1" thickBot="1">
      <c r="B17" s="246"/>
      <c r="C17" s="247"/>
      <c r="D17" s="247"/>
      <c r="E17" s="217"/>
    </row>
  </sheetData>
  <sheetProtection algorithmName="SHA-512" hashValue="MO88oJNNrOEwp1U1n2D5MSpAe/oawjWb3dVQaNb9F9MuAQZuz3lCenGDwNm+fsdRLlBIx4Y7LSu2vWnl7w83jA==" saltValue="+fIZ7zDKUMYs8wvJ7L3Ycw==" spinCount="100000" sheet="1" selectLockedCells="1"/>
  <mergeCells count="3">
    <mergeCell ref="C5:D5"/>
    <mergeCell ref="G11:J11"/>
    <mergeCell ref="G13:J13"/>
  </mergeCells>
  <pageMargins left="0.7" right="0.7" top="0.75" bottom="0.75" header="0.3" footer="0.3"/>
  <pageSetup orientation="portrait" r:id="rId1"/>
  <ignoredErrors>
    <ignoredError sqref="D13"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theme="9" tint="0.39997558519241921"/>
  </sheetPr>
  <dimension ref="B1:Q37"/>
  <sheetViews>
    <sheetView zoomScale="115" zoomScaleNormal="115" workbookViewId="0">
      <selection activeCell="D7" sqref="D7"/>
    </sheetView>
  </sheetViews>
  <sheetFormatPr defaultColWidth="9" defaultRowHeight="15" customHeight="1"/>
  <cols>
    <col min="1" max="2" width="4.42578125" style="2" customWidth="1"/>
    <col min="3" max="3" width="38.42578125" style="2" bestFit="1" customWidth="1"/>
    <col min="4" max="4" width="9.5703125" style="2" customWidth="1"/>
    <col min="5" max="6" width="4.42578125" style="2" customWidth="1"/>
    <col min="7" max="8" width="9" style="2"/>
    <col min="9" max="10" width="4.42578125" style="2" customWidth="1"/>
    <col min="11" max="11" width="38.42578125" style="2" bestFit="1" customWidth="1"/>
    <col min="12" max="12" width="7.5703125" style="2" bestFit="1" customWidth="1"/>
    <col min="13" max="14" width="4.42578125" style="2" customWidth="1"/>
    <col min="15" max="16384" width="9" style="2"/>
  </cols>
  <sheetData>
    <row r="1" spans="2:17" customFormat="1" ht="14.45">
      <c r="I1" s="64"/>
    </row>
    <row r="2" spans="2:17" customFormat="1" ht="14.45">
      <c r="C2" s="2"/>
      <c r="J2" s="2"/>
      <c r="Q2" s="2"/>
    </row>
    <row r="3" spans="2:17" customFormat="1" thickBot="1">
      <c r="C3" s="2"/>
      <c r="J3" s="2"/>
      <c r="Q3" s="2"/>
    </row>
    <row r="4" spans="2:17" customFormat="1" thickBot="1">
      <c r="B4" s="256"/>
      <c r="C4" s="257"/>
      <c r="D4" s="257"/>
      <c r="E4" s="258"/>
      <c r="J4" s="256"/>
      <c r="K4" s="257"/>
      <c r="L4" s="257"/>
      <c r="M4" s="258"/>
      <c r="Q4" s="2"/>
    </row>
    <row r="5" spans="2:17" customFormat="1" thickBot="1">
      <c r="B5" s="259"/>
      <c r="C5" s="787" t="s">
        <v>127</v>
      </c>
      <c r="D5" s="788"/>
      <c r="E5" s="261"/>
      <c r="J5" s="259"/>
      <c r="K5" s="787" t="s">
        <v>128</v>
      </c>
      <c r="L5" s="788"/>
      <c r="M5" s="261"/>
      <c r="Q5" s="2"/>
    </row>
    <row r="6" spans="2:17" customFormat="1" thickBot="1">
      <c r="B6" s="259"/>
      <c r="C6" s="260"/>
      <c r="D6" s="260"/>
      <c r="E6" s="261"/>
      <c r="J6" s="259"/>
      <c r="K6" s="260"/>
      <c r="L6" s="260"/>
      <c r="M6" s="261"/>
      <c r="Q6" s="2"/>
    </row>
    <row r="7" spans="2:17" customFormat="1" ht="15" customHeight="1" thickBot="1">
      <c r="B7" s="259"/>
      <c r="C7" s="345" t="s">
        <v>25</v>
      </c>
      <c r="D7" s="249"/>
      <c r="E7" s="261"/>
      <c r="J7" s="259"/>
      <c r="K7" s="345" t="s">
        <v>25</v>
      </c>
      <c r="L7" s="249"/>
      <c r="M7" s="261"/>
      <c r="N7" s="34"/>
      <c r="Q7" s="2"/>
    </row>
    <row r="8" spans="2:17" customFormat="1" thickBot="1">
      <c r="B8" s="259"/>
      <c r="C8" s="345" t="s">
        <v>129</v>
      </c>
      <c r="D8" s="249"/>
      <c r="E8" s="261"/>
      <c r="J8" s="259"/>
      <c r="K8" s="345" t="s">
        <v>26</v>
      </c>
      <c r="L8" s="249"/>
      <c r="M8" s="261"/>
      <c r="Q8" s="2"/>
    </row>
    <row r="9" spans="2:17" customFormat="1" thickBot="1">
      <c r="B9" s="259"/>
      <c r="C9" s="346" t="s">
        <v>130</v>
      </c>
      <c r="D9" s="339"/>
      <c r="E9" s="261"/>
      <c r="G9" s="789" t="s">
        <v>131</v>
      </c>
      <c r="H9" s="790"/>
      <c r="J9" s="259"/>
      <c r="K9" s="346" t="s">
        <v>132</v>
      </c>
      <c r="L9" s="339"/>
      <c r="M9" s="261"/>
      <c r="O9" s="789" t="s">
        <v>131</v>
      </c>
      <c r="P9" s="790"/>
      <c r="Q9" s="2"/>
    </row>
    <row r="10" spans="2:17" customFormat="1" thickBot="1">
      <c r="B10" s="259"/>
      <c r="C10" s="347" t="s">
        <v>133</v>
      </c>
      <c r="D10" s="340"/>
      <c r="E10" s="261"/>
      <c r="G10" s="789" t="s">
        <v>134</v>
      </c>
      <c r="H10" s="790"/>
      <c r="J10" s="259"/>
      <c r="K10" s="347" t="s">
        <v>135</v>
      </c>
      <c r="L10" s="340"/>
      <c r="M10" s="261"/>
      <c r="O10" s="789" t="s">
        <v>134</v>
      </c>
      <c r="P10" s="790"/>
      <c r="Q10" s="2"/>
    </row>
    <row r="11" spans="2:17" customFormat="1" thickBot="1">
      <c r="B11" s="259"/>
      <c r="C11" s="348" t="s">
        <v>136</v>
      </c>
      <c r="D11" s="341"/>
      <c r="E11" s="261"/>
      <c r="G11" s="789" t="s">
        <v>137</v>
      </c>
      <c r="H11" s="790"/>
      <c r="J11" s="259"/>
      <c r="K11" s="348" t="s">
        <v>138</v>
      </c>
      <c r="L11" s="341"/>
      <c r="M11" s="261"/>
      <c r="O11" s="789" t="s">
        <v>137</v>
      </c>
      <c r="P11" s="790"/>
      <c r="Q11" s="2"/>
    </row>
    <row r="12" spans="2:17" customFormat="1" thickBot="1">
      <c r="B12" s="259"/>
      <c r="C12" s="347" t="s">
        <v>139</v>
      </c>
      <c r="D12" s="341"/>
      <c r="E12" s="261"/>
      <c r="G12" s="789" t="s">
        <v>140</v>
      </c>
      <c r="H12" s="790"/>
      <c r="J12" s="259"/>
      <c r="K12" s="342"/>
      <c r="L12" s="343"/>
      <c r="M12" s="261"/>
      <c r="Q12" s="2"/>
    </row>
    <row r="13" spans="2:17" customFormat="1" thickBot="1">
      <c r="B13" s="259"/>
      <c r="C13" s="342"/>
      <c r="D13" s="343"/>
      <c r="E13" s="261"/>
      <c r="J13" s="259"/>
      <c r="K13" s="344" t="s">
        <v>141</v>
      </c>
      <c r="L13" s="224">
        <v>40</v>
      </c>
      <c r="M13" s="261"/>
      <c r="Q13" s="2"/>
    </row>
    <row r="14" spans="2:17" customFormat="1" thickBot="1">
      <c r="B14" s="259"/>
      <c r="C14" s="344" t="s">
        <v>141</v>
      </c>
      <c r="D14" s="350">
        <v>40</v>
      </c>
      <c r="E14" s="261"/>
      <c r="J14" s="259"/>
      <c r="K14" s="345" t="s">
        <v>142</v>
      </c>
      <c r="L14" s="271">
        <f>L7*40</f>
        <v>0</v>
      </c>
      <c r="M14" s="261"/>
      <c r="Q14" s="2"/>
    </row>
    <row r="15" spans="2:17" customFormat="1" thickBot="1">
      <c r="B15" s="259"/>
      <c r="C15" s="345" t="s">
        <v>142</v>
      </c>
      <c r="D15" s="349">
        <f>D7*40</f>
        <v>0</v>
      </c>
      <c r="E15" s="261"/>
      <c r="J15" s="259"/>
      <c r="K15" s="221" t="s">
        <v>143</v>
      </c>
      <c r="L15" s="272">
        <f>(L9*L8/3)+(L10*L8/5)+(L11*L8/9)</f>
        <v>0</v>
      </c>
      <c r="M15" s="261"/>
      <c r="Q15" s="2"/>
    </row>
    <row r="16" spans="2:17" customFormat="1" thickBot="1">
      <c r="B16" s="259"/>
      <c r="C16" s="221" t="s">
        <v>143</v>
      </c>
      <c r="D16" s="272">
        <f>(D9*D8/3)+(D10*D8/5)+(D11*D8/9)</f>
        <v>0</v>
      </c>
      <c r="E16" s="261"/>
      <c r="J16" s="259"/>
      <c r="K16" s="227" t="s">
        <v>144</v>
      </c>
      <c r="L16" s="273" t="e">
        <f>L15/L7</f>
        <v>#DIV/0!</v>
      </c>
      <c r="M16" s="261"/>
      <c r="Q16" s="2"/>
    </row>
    <row r="17" spans="2:17" customFormat="1" thickBot="1">
      <c r="B17" s="259"/>
      <c r="C17" s="227" t="s">
        <v>144</v>
      </c>
      <c r="D17" s="273" t="e">
        <f>D16/D7</f>
        <v>#DIV/0!</v>
      </c>
      <c r="E17" s="261"/>
      <c r="J17" s="259"/>
      <c r="K17" s="228" t="s">
        <v>14</v>
      </c>
      <c r="L17" s="274" t="e">
        <f>L7*40/((L9/3)+(L10/5)+(L11/9))</f>
        <v>#DIV/0!</v>
      </c>
      <c r="M17" s="261"/>
      <c r="Q17" s="2"/>
    </row>
    <row r="18" spans="2:17" customFormat="1" ht="15.75" customHeight="1" thickBot="1">
      <c r="B18" s="259"/>
      <c r="C18" s="228" t="s">
        <v>13</v>
      </c>
      <c r="D18" s="274" t="e">
        <f>D7*40/((D9/3)+(D10/5)+(D11/9)+(D12/3.65))</f>
        <v>#DIV/0!</v>
      </c>
      <c r="E18" s="261"/>
      <c r="J18" s="262"/>
      <c r="K18" s="263"/>
      <c r="L18" s="263"/>
      <c r="M18" s="264"/>
      <c r="Q18" s="2"/>
    </row>
    <row r="19" spans="2:17" customFormat="1" thickBot="1">
      <c r="B19" s="262"/>
      <c r="C19" s="263"/>
      <c r="D19" s="263"/>
      <c r="E19" s="264"/>
      <c r="K19" s="2"/>
      <c r="L19" s="2"/>
      <c r="M19" s="2"/>
      <c r="N19" s="2"/>
    </row>
    <row r="20" spans="2:17" customFormat="1" ht="14.45">
      <c r="B20" s="2"/>
      <c r="C20" s="2"/>
      <c r="D20" s="2"/>
      <c r="E20" s="2"/>
      <c r="F20" s="2"/>
      <c r="G20" s="2"/>
      <c r="H20" s="2"/>
      <c r="K20" s="2"/>
      <c r="L20" s="2"/>
      <c r="M20" s="2"/>
      <c r="N20" s="2"/>
    </row>
    <row r="21" spans="2:17" ht="15" customHeight="1" thickBot="1"/>
    <row r="22" spans="2:17" customFormat="1" ht="14.45">
      <c r="B22" s="759" t="s">
        <v>145</v>
      </c>
      <c r="C22" s="760"/>
      <c r="D22" s="760"/>
      <c r="E22" s="761"/>
      <c r="J22" s="2"/>
      <c r="K22" s="2"/>
      <c r="L22" s="2"/>
      <c r="M22" s="2"/>
    </row>
    <row r="23" spans="2:17" customFormat="1" ht="15" customHeight="1" thickBot="1">
      <c r="B23" s="784" t="s">
        <v>146</v>
      </c>
      <c r="C23" s="785"/>
      <c r="D23" s="785"/>
      <c r="E23" s="786"/>
      <c r="J23" s="2"/>
      <c r="K23" s="2"/>
      <c r="L23" s="2"/>
      <c r="M23" s="2"/>
    </row>
    <row r="24" spans="2:17" customFormat="1" ht="14.45">
      <c r="B24" s="2"/>
      <c r="C24" s="2"/>
      <c r="D24" s="2"/>
      <c r="E24" s="2"/>
    </row>
    <row r="25" spans="2:17" customFormat="1" ht="14.45">
      <c r="B25" s="2"/>
      <c r="C25" s="2"/>
      <c r="D25" s="2"/>
      <c r="E25" s="2"/>
    </row>
    <row r="26" spans="2:17" customFormat="1" ht="14.45">
      <c r="B26" s="2"/>
      <c r="C26" s="2"/>
      <c r="D26" s="2"/>
      <c r="E26" s="2"/>
    </row>
    <row r="27" spans="2:17" customFormat="1" ht="14.45">
      <c r="B27" s="2"/>
      <c r="C27" s="2"/>
      <c r="D27" s="2"/>
      <c r="E27" s="2"/>
    </row>
    <row r="28" spans="2:17" customFormat="1" ht="14.45">
      <c r="B28" s="2"/>
      <c r="C28" s="2"/>
      <c r="D28" s="2"/>
      <c r="E28" s="2"/>
      <c r="F28" s="2"/>
    </row>
    <row r="29" spans="2:17" customFormat="1" ht="14.45">
      <c r="B29" s="2"/>
      <c r="C29" s="2"/>
      <c r="D29" s="2"/>
      <c r="E29" s="2"/>
      <c r="F29" s="2"/>
      <c r="G29" s="2"/>
      <c r="H29" s="2"/>
    </row>
    <row r="30" spans="2:17" customFormat="1" ht="14.45">
      <c r="B30" s="2"/>
      <c r="C30" s="2"/>
      <c r="D30" s="2"/>
      <c r="E30" s="2"/>
      <c r="F30" s="2"/>
      <c r="G30" s="2"/>
      <c r="H30" s="2"/>
    </row>
    <row r="31" spans="2:17" customFormat="1" ht="14.45">
      <c r="B31" s="2"/>
      <c r="C31" s="2"/>
      <c r="D31" s="2"/>
      <c r="E31" s="2"/>
      <c r="F31" s="2"/>
      <c r="G31" s="2"/>
      <c r="H31" s="2"/>
    </row>
    <row r="32" spans="2:17" customFormat="1" ht="14.45">
      <c r="B32" s="2"/>
      <c r="C32" s="2"/>
      <c r="D32" s="2"/>
      <c r="E32" s="2"/>
    </row>
    <row r="33" spans="2:5" customFormat="1" ht="14.45">
      <c r="B33" s="2"/>
      <c r="C33" s="2"/>
      <c r="D33" s="2"/>
      <c r="E33" s="2"/>
    </row>
    <row r="34" spans="2:5" customFormat="1" ht="14.45">
      <c r="B34" s="2"/>
      <c r="C34" s="2"/>
      <c r="D34" s="2"/>
      <c r="E34" s="2"/>
    </row>
    <row r="37" spans="2:5" ht="30.6" customHeight="1"/>
  </sheetData>
  <sheetProtection algorithmName="SHA-512" hashValue="tkvkVoYVYQovAyQmTLTS93NZH9UrzQnIENIeOvz7jgaNZH7bjTeF/eY/K/vY/TmkPiqbRnn3eeIkxHLPyAWhUw==" saltValue="JNK1zDjm5AjbVXIEU0dELw==" spinCount="100000" sheet="1" selectLockedCells="1"/>
  <mergeCells count="11">
    <mergeCell ref="K5:L5"/>
    <mergeCell ref="G12:H12"/>
    <mergeCell ref="O11:P11"/>
    <mergeCell ref="O10:P10"/>
    <mergeCell ref="O9:P9"/>
    <mergeCell ref="G11:H11"/>
    <mergeCell ref="B23:E23"/>
    <mergeCell ref="B22:E22"/>
    <mergeCell ref="C5:D5"/>
    <mergeCell ref="G9:H9"/>
    <mergeCell ref="G10:H10"/>
  </mergeCells>
  <hyperlinks>
    <hyperlink ref="B23" r:id="rId1" xr:uid="{00000000-0004-0000-0F00-000000000000}"/>
  </hyperlinks>
  <pageMargins left="0.7" right="0.7" top="0.75" bottom="0.75" header="0.3" footer="0.3"/>
  <pageSetup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tabColor theme="9" tint="0.39997558519241921"/>
  </sheetPr>
  <dimension ref="B1:K18"/>
  <sheetViews>
    <sheetView zoomScale="115" zoomScaleNormal="115" workbookViewId="0">
      <selection activeCell="D7" sqref="D7"/>
    </sheetView>
  </sheetViews>
  <sheetFormatPr defaultColWidth="9" defaultRowHeight="18.2" customHeight="1"/>
  <cols>
    <col min="1" max="2" width="4.42578125" style="3" customWidth="1"/>
    <col min="3" max="3" width="33.42578125" style="3" bestFit="1" customWidth="1"/>
    <col min="4" max="4" width="14.140625" style="3" customWidth="1"/>
    <col min="5" max="6" width="4.42578125" style="3" customWidth="1"/>
    <col min="7" max="11" width="9.140625" style="3" customWidth="1"/>
    <col min="12" max="13" width="8.28515625" style="3" customWidth="1"/>
    <col min="14" max="16384" width="9" style="3"/>
  </cols>
  <sheetData>
    <row r="1" spans="2:11" ht="14.25" customHeight="1"/>
    <row r="2" spans="2:11" ht="14.45"/>
    <row r="3" spans="2:11" ht="15" customHeight="1" thickBot="1"/>
    <row r="4" spans="2:11" ht="15" customHeight="1" thickBot="1">
      <c r="B4" s="237"/>
      <c r="C4" s="238"/>
      <c r="D4" s="238"/>
      <c r="E4" s="239"/>
    </row>
    <row r="5" spans="2:11" ht="15" customHeight="1" thickBot="1">
      <c r="B5" s="240"/>
      <c r="C5" s="791" t="s">
        <v>147</v>
      </c>
      <c r="D5" s="792"/>
      <c r="E5" s="242"/>
    </row>
    <row r="6" spans="2:11" ht="15" customHeight="1" thickBot="1">
      <c r="B6" s="240"/>
      <c r="C6" s="277"/>
      <c r="D6" s="241"/>
      <c r="E6" s="242"/>
    </row>
    <row r="7" spans="2:11" ht="15" customHeight="1" thickBot="1">
      <c r="B7" s="240"/>
      <c r="C7" s="218" t="s">
        <v>2</v>
      </c>
      <c r="D7" s="306"/>
      <c r="E7" s="242"/>
    </row>
    <row r="8" spans="2:11" ht="15" customHeight="1" thickBot="1">
      <c r="B8" s="240"/>
      <c r="C8" s="279" t="s">
        <v>53</v>
      </c>
      <c r="D8" s="351"/>
      <c r="E8" s="242"/>
    </row>
    <row r="9" spans="2:11" ht="15" customHeight="1" thickBot="1">
      <c r="B9" s="240"/>
      <c r="C9" s="279" t="s">
        <v>54</v>
      </c>
      <c r="D9" s="280"/>
      <c r="E9" s="242"/>
    </row>
    <row r="10" spans="2:11" ht="15" customHeight="1" thickBot="1">
      <c r="B10" s="240"/>
      <c r="C10" s="282"/>
      <c r="D10" s="301"/>
      <c r="E10" s="242"/>
    </row>
    <row r="11" spans="2:11" ht="15" customHeight="1" thickBot="1">
      <c r="B11" s="240"/>
      <c r="C11" s="352" t="s">
        <v>9</v>
      </c>
      <c r="D11" s="353">
        <v>6</v>
      </c>
      <c r="E11" s="242"/>
    </row>
    <row r="12" spans="2:11" ht="15" customHeight="1" thickBot="1">
      <c r="B12" s="240"/>
      <c r="C12" s="218" t="s">
        <v>10</v>
      </c>
      <c r="D12" s="311">
        <f>D11*D7</f>
        <v>0</v>
      </c>
      <c r="E12" s="242"/>
    </row>
    <row r="13" spans="2:11" ht="15" customHeight="1" thickBot="1">
      <c r="B13" s="240"/>
      <c r="C13" s="286" t="s">
        <v>56</v>
      </c>
      <c r="D13" s="311">
        <f>D8/100*1000</f>
        <v>0</v>
      </c>
      <c r="E13" s="242"/>
      <c r="G13" s="754" t="s">
        <v>68</v>
      </c>
      <c r="H13" s="755"/>
      <c r="I13" s="755"/>
      <c r="J13" s="755"/>
      <c r="K13" s="756"/>
    </row>
    <row r="14" spans="2:11" ht="15" customHeight="1" thickBot="1">
      <c r="B14" s="240"/>
      <c r="C14" s="287" t="s">
        <v>69</v>
      </c>
      <c r="D14" s="315">
        <f>D13*D9</f>
        <v>0</v>
      </c>
      <c r="E14" s="242"/>
    </row>
    <row r="15" spans="2:11" ht="15" customHeight="1" thickBot="1">
      <c r="B15" s="240"/>
      <c r="C15" s="289" t="s">
        <v>59</v>
      </c>
      <c r="D15" s="317" t="e">
        <f>D14/D7</f>
        <v>#DIV/0!</v>
      </c>
      <c r="E15" s="242"/>
    </row>
    <row r="16" spans="2:11" ht="15" customHeight="1" thickBot="1">
      <c r="B16" s="240"/>
      <c r="C16" s="291" t="s">
        <v>60</v>
      </c>
      <c r="D16" s="318" t="e">
        <f>D12/D13</f>
        <v>#DIV/0!</v>
      </c>
      <c r="E16" s="242"/>
    </row>
    <row r="17" spans="2:5" ht="14.25" customHeight="1" thickBot="1">
      <c r="B17" s="246"/>
      <c r="C17" s="247"/>
      <c r="D17" s="247"/>
      <c r="E17" s="248"/>
    </row>
    <row r="18" spans="2:5" ht="14.25" customHeight="1"/>
  </sheetData>
  <sheetProtection algorithmName="SHA-512" hashValue="LmmrA3a3WirGaLdXvRGbtqO8JMqkUY2nLIpRVqzD7pkrhBgdVyWhzWp6vvdxDRRgqK13Z6sPBOJb7LT5pSXAoA==" saltValue="xomcipkkgfwwcPnWPFAD4Q==" spinCount="100000" sheet="1" selectLockedCells="1"/>
  <mergeCells count="2">
    <mergeCell ref="C5:D5"/>
    <mergeCell ref="G13:K13"/>
  </mergeCells>
  <pageMargins left="0.7" right="0.7" top="0.75" bottom="0.75" header="0.3" footer="0.3"/>
  <pageSetup orientation="portrait" r:id="rId1"/>
  <ignoredErrors>
    <ignoredError sqref="D13"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3">
    <tabColor theme="9" tint="0.39997558519241921"/>
  </sheetPr>
  <dimension ref="B1:Q32"/>
  <sheetViews>
    <sheetView zoomScale="115" zoomScaleNormal="115" workbookViewId="0">
      <selection activeCell="D6" sqref="D6"/>
    </sheetView>
  </sheetViews>
  <sheetFormatPr defaultColWidth="9" defaultRowHeight="14.25" customHeight="1"/>
  <cols>
    <col min="1" max="1" width="3.42578125" style="2" customWidth="1"/>
    <col min="2" max="2" width="4.42578125" style="2" customWidth="1"/>
    <col min="3" max="3" width="36" style="2" bestFit="1" customWidth="1"/>
    <col min="4" max="4" width="13.7109375" style="2" customWidth="1"/>
    <col min="5" max="5" width="4.42578125" style="2" customWidth="1"/>
    <col min="6" max="6" width="3.7109375" style="2" customWidth="1"/>
    <col min="7" max="8" width="7.42578125" style="2" customWidth="1"/>
    <col min="9" max="9" width="9.140625" style="2" customWidth="1"/>
    <col min="10" max="10" width="4.42578125" style="2" customWidth="1"/>
    <col min="11" max="11" width="36" style="2" customWidth="1"/>
    <col min="12" max="12" width="13.85546875" style="2" customWidth="1"/>
    <col min="13" max="13" width="4.42578125" style="2" customWidth="1"/>
    <col min="14" max="14" width="4.28515625" style="2" customWidth="1"/>
    <col min="15" max="16" width="7.42578125" style="2" customWidth="1"/>
    <col min="17" max="16384" width="9" style="2"/>
  </cols>
  <sheetData>
    <row r="1" spans="2:17" ht="19.149999999999999" customHeight="1"/>
    <row r="2" spans="2:17" ht="15" customHeight="1" thickBot="1"/>
    <row r="3" spans="2:17" ht="15" customHeight="1" thickBot="1">
      <c r="B3" s="424"/>
      <c r="C3" s="425"/>
      <c r="D3" s="425"/>
      <c r="E3" s="426"/>
      <c r="J3" s="424"/>
      <c r="K3" s="425"/>
      <c r="L3" s="425"/>
      <c r="M3" s="426"/>
    </row>
    <row r="4" spans="2:17" ht="15" customHeight="1" thickBot="1">
      <c r="B4" s="213"/>
      <c r="C4" s="793" t="s">
        <v>148</v>
      </c>
      <c r="D4" s="794"/>
      <c r="E4" s="214"/>
      <c r="J4" s="213"/>
      <c r="K4" s="636" t="s">
        <v>149</v>
      </c>
      <c r="L4" s="637"/>
      <c r="M4" s="356"/>
    </row>
    <row r="5" spans="2:17" ht="15" customHeight="1" thickBot="1">
      <c r="B5" s="213"/>
      <c r="C5" s="9"/>
      <c r="D5" s="9"/>
      <c r="E5" s="214"/>
      <c r="J5" s="213"/>
      <c r="K5" s="9"/>
      <c r="L5" s="9"/>
      <c r="M5" s="214"/>
    </row>
    <row r="6" spans="2:17" ht="15" customHeight="1" thickBot="1">
      <c r="B6" s="213"/>
      <c r="C6" s="218" t="s">
        <v>2</v>
      </c>
      <c r="D6" s="219"/>
      <c r="E6" s="214"/>
      <c r="J6" s="213"/>
      <c r="K6" s="218" t="s">
        <v>2</v>
      </c>
      <c r="L6" s="219"/>
      <c r="M6" s="231"/>
      <c r="O6" s="803" t="s">
        <v>150</v>
      </c>
      <c r="P6" s="804"/>
    </row>
    <row r="7" spans="2:17" ht="15" customHeight="1" thickBot="1">
      <c r="B7" s="213"/>
      <c r="C7" s="218" t="s">
        <v>151</v>
      </c>
      <c r="D7" s="220"/>
      <c r="E7" s="214"/>
      <c r="G7" s="803" t="s">
        <v>150</v>
      </c>
      <c r="H7" s="804"/>
      <c r="I7" s="358"/>
      <c r="J7" s="213"/>
      <c r="K7" s="218" t="s">
        <v>152</v>
      </c>
      <c r="L7" s="220"/>
      <c r="M7" s="231"/>
      <c r="O7" s="805"/>
      <c r="P7" s="806"/>
      <c r="Q7" s="359"/>
    </row>
    <row r="8" spans="2:17" ht="15" customHeight="1" thickBot="1">
      <c r="B8" s="213"/>
      <c r="C8" s="218" t="s">
        <v>153</v>
      </c>
      <c r="D8" s="219"/>
      <c r="E8" s="214"/>
      <c r="G8" s="805"/>
      <c r="H8" s="806"/>
      <c r="J8" s="213"/>
      <c r="K8" s="218" t="s">
        <v>49</v>
      </c>
      <c r="L8" s="249"/>
      <c r="M8" s="232"/>
      <c r="O8" s="724" t="s">
        <v>154</v>
      </c>
      <c r="P8" s="795"/>
      <c r="Q8" s="796"/>
    </row>
    <row r="9" spans="2:17" ht="15" customHeight="1" thickBot="1">
      <c r="B9" s="213"/>
      <c r="C9" s="218" t="s">
        <v>6</v>
      </c>
      <c r="D9" s="219"/>
      <c r="E9" s="214"/>
      <c r="J9" s="213"/>
      <c r="K9" s="218" t="s">
        <v>7</v>
      </c>
      <c r="L9" s="219"/>
      <c r="M9" s="231"/>
      <c r="O9" s="797"/>
      <c r="P9" s="798"/>
      <c r="Q9" s="799"/>
    </row>
    <row r="10" spans="2:17" ht="15" customHeight="1" thickBot="1">
      <c r="B10" s="213"/>
      <c r="C10" s="250"/>
      <c r="D10" s="255"/>
      <c r="E10" s="214"/>
      <c r="J10" s="213"/>
      <c r="K10" s="250"/>
      <c r="L10" s="255"/>
      <c r="M10" s="231"/>
      <c r="O10" s="800"/>
      <c r="P10" s="801"/>
      <c r="Q10" s="802"/>
    </row>
    <row r="11" spans="2:17" ht="15" customHeight="1" thickBot="1">
      <c r="B11" s="213"/>
      <c r="C11" s="223" t="s">
        <v>9</v>
      </c>
      <c r="D11" s="354" t="str">
        <f>IF(D7="Ibuprofen", 200, IF(D7="Meloxicam", 1, IF(D7="Naproxen", 50, IF(D7="Naproxen Sodium", 55, IF(D7="Diclofenac", 15, IF(D7="Ketorolac", 4, IF(D7="Celecoxib", 60, "")))))))</f>
        <v/>
      </c>
      <c r="E11" s="214"/>
      <c r="J11" s="213"/>
      <c r="K11" s="223" t="s">
        <v>9</v>
      </c>
      <c r="L11" s="224" t="str">
        <f>IF(L7="Ibuprofen", 200, IF(L7="Meloxicam", 1, IF(L7="Naproxen", 50, IF(L7="Naproxen Sodium", 55, IF(L7="Diclofenac", 15, IF(L7="Ketorolac", 4, IF(L7="Celecoxib", 60, "")))))))</f>
        <v/>
      </c>
      <c r="M11" s="233"/>
    </row>
    <row r="12" spans="2:17" ht="15" customHeight="1" thickBot="1">
      <c r="B12" s="213"/>
      <c r="C12" s="218" t="s">
        <v>10</v>
      </c>
      <c r="D12" s="225" t="e">
        <f>D6*D11</f>
        <v>#VALUE!</v>
      </c>
      <c r="E12" s="214"/>
      <c r="J12" s="213"/>
      <c r="K12" s="218" t="s">
        <v>10</v>
      </c>
      <c r="L12" s="225" t="e">
        <f>L6*L11</f>
        <v>#VALUE!</v>
      </c>
      <c r="M12" s="234"/>
    </row>
    <row r="13" spans="2:17" ht="15" customHeight="1" thickBot="1">
      <c r="B13" s="213"/>
      <c r="C13" s="221" t="s">
        <v>11</v>
      </c>
      <c r="D13" s="226">
        <f>D8*D9</f>
        <v>0</v>
      </c>
      <c r="E13" s="214"/>
      <c r="J13" s="213"/>
      <c r="K13" s="221" t="s">
        <v>11</v>
      </c>
      <c r="L13" s="226">
        <f>L8*L9</f>
        <v>0</v>
      </c>
      <c r="M13" s="214"/>
    </row>
    <row r="14" spans="2:17" ht="15" customHeight="1" thickBot="1">
      <c r="B14" s="213"/>
      <c r="C14" s="227" t="s">
        <v>12</v>
      </c>
      <c r="D14" s="355" t="e">
        <f>D13/D6</f>
        <v>#DIV/0!</v>
      </c>
      <c r="E14" s="214"/>
      <c r="J14" s="213"/>
      <c r="K14" s="357" t="s">
        <v>12</v>
      </c>
      <c r="L14" s="355" t="e">
        <f>L13/L6</f>
        <v>#DIV/0!</v>
      </c>
      <c r="M14" s="235"/>
    </row>
    <row r="15" spans="2:17" ht="15" customHeight="1" thickBot="1">
      <c r="B15" s="213"/>
      <c r="C15" s="228" t="s">
        <v>13</v>
      </c>
      <c r="D15" s="229" t="e">
        <f>D12/D8</f>
        <v>#VALUE!</v>
      </c>
      <c r="E15" s="214"/>
      <c r="J15" s="213"/>
      <c r="K15" s="228" t="s">
        <v>14</v>
      </c>
      <c r="L15" s="229" t="e">
        <f>L12/L8</f>
        <v>#VALUE!</v>
      </c>
      <c r="M15" s="236"/>
    </row>
    <row r="16" spans="2:17" ht="15" customHeight="1" thickBot="1">
      <c r="B16" s="215"/>
      <c r="C16" s="216"/>
      <c r="D16" s="216"/>
      <c r="E16" s="217"/>
      <c r="J16" s="215"/>
      <c r="K16" s="216"/>
      <c r="L16" s="216"/>
      <c r="M16" s="217"/>
    </row>
    <row r="17" spans="10:10" ht="15" customHeight="1"/>
    <row r="18" spans="10:10" ht="19.149999999999999" customHeight="1"/>
    <row r="19" spans="10:10" ht="15" customHeight="1"/>
    <row r="20" spans="10:10" ht="15" customHeight="1"/>
    <row r="21" spans="10:10" ht="15" customHeight="1"/>
    <row r="22" spans="10:10" ht="15" customHeight="1"/>
    <row r="23" spans="10:10" ht="15" customHeight="1"/>
    <row r="24" spans="10:10" ht="15" customHeight="1">
      <c r="J24" s="358"/>
    </row>
    <row r="25" spans="10:10" ht="15" customHeight="1"/>
    <row r="26" spans="10:10" ht="15" customHeight="1"/>
    <row r="27" spans="10:10" ht="15" customHeight="1"/>
    <row r="28" spans="10:10" ht="15" customHeight="1"/>
    <row r="29" spans="10:10" ht="15" customHeight="1"/>
    <row r="30" spans="10:10" ht="15" customHeight="1"/>
    <row r="31" spans="10:10" ht="15" customHeight="1"/>
    <row r="32" spans="10:10" ht="15" customHeight="1"/>
  </sheetData>
  <sheetProtection algorithmName="SHA-512" hashValue="oo9fVJWkTJ3cJg3HlSuikWROnTITMVkdyFCUHTSc6CZY5OIGAv5M6WOATwpWkL0uQp9gETpONW/rUyaNnIW0wA==" saltValue="wsipC3rwTXS0iqhJybfcog==" spinCount="100000" sheet="1" selectLockedCells="1"/>
  <mergeCells count="5">
    <mergeCell ref="C4:D4"/>
    <mergeCell ref="K4:L4"/>
    <mergeCell ref="O8:Q10"/>
    <mergeCell ref="G7:H8"/>
    <mergeCell ref="O6:P7"/>
  </mergeCells>
  <conditionalFormatting sqref="L14">
    <cfRule type="cellIs" dxfId="24" priority="1" operator="greaterThanOrEqual">
      <formula>200</formula>
    </cfRule>
  </conditionalFormatting>
  <conditionalFormatting sqref="M15">
    <cfRule type="cellIs" dxfId="23" priority="2" operator="greaterThanOrEqual">
      <formula>200</formula>
    </cfRule>
  </conditionalFormatting>
  <dataValidations count="1">
    <dataValidation type="list" allowBlank="1" showInputMessage="1" showErrorMessage="1" sqref="L7 D7" xr:uid="{00000000-0002-0000-1100-000000000000}">
      <formula1>"Celecoxib, Diclofenac, Ibuprofen, Ketorolac, Meloxicam, Naproxen, Naproxen Sodium"</formula1>
    </dataValidation>
  </dataValidation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rgb="FF00B0F0"/>
  </sheetPr>
  <dimension ref="B1:K31"/>
  <sheetViews>
    <sheetView topLeftCell="A2" zoomScale="130" zoomScaleNormal="130" workbookViewId="0">
      <selection activeCell="D6" sqref="D6"/>
    </sheetView>
  </sheetViews>
  <sheetFormatPr defaultColWidth="9" defaultRowHeight="15" customHeight="1"/>
  <cols>
    <col min="1" max="1" width="3.85546875" style="2" customWidth="1"/>
    <col min="2" max="2" width="4.42578125" style="2" customWidth="1"/>
    <col min="3" max="3" width="44.42578125" style="2" bestFit="1" customWidth="1"/>
    <col min="4" max="4" width="12.42578125" style="2" bestFit="1" customWidth="1"/>
    <col min="5" max="5" width="16" style="2" customWidth="1"/>
    <col min="6" max="6" width="8.42578125" style="2" customWidth="1"/>
    <col min="7" max="7" width="8.140625" style="2" customWidth="1"/>
    <col min="8" max="8" width="4.42578125" style="2" customWidth="1"/>
    <col min="9" max="9" width="9" style="2"/>
    <col min="10" max="10" width="4.42578125" style="2" customWidth="1"/>
    <col min="11" max="11" width="39.42578125" style="2" bestFit="1" customWidth="1"/>
    <col min="12" max="14" width="9" style="2"/>
    <col min="15" max="15" width="4.42578125" style="2" customWidth="1"/>
    <col min="16" max="16384" width="9" style="2"/>
  </cols>
  <sheetData>
    <row r="1" spans="2:7" ht="15" customHeight="1" thickBot="1"/>
    <row r="2" spans="2:7" ht="15" customHeight="1">
      <c r="B2" s="6"/>
      <c r="C2" s="7"/>
      <c r="D2" s="7"/>
      <c r="E2" s="7"/>
      <c r="F2" s="7"/>
      <c r="G2" s="8"/>
    </row>
    <row r="3" spans="2:7" ht="15" customHeight="1" thickBot="1">
      <c r="B3" s="10"/>
      <c r="C3" s="9"/>
      <c r="D3" s="9"/>
      <c r="E3" s="9"/>
      <c r="F3" s="9"/>
      <c r="G3" s="11"/>
    </row>
    <row r="4" spans="2:7" ht="15" customHeight="1" thickBot="1">
      <c r="B4" s="10"/>
      <c r="C4" s="807" t="s">
        <v>155</v>
      </c>
      <c r="D4" s="808"/>
      <c r="E4" s="808"/>
      <c r="F4" s="809"/>
      <c r="G4" s="11"/>
    </row>
    <row r="5" spans="2:7" ht="15" customHeight="1" thickBot="1">
      <c r="B5" s="10"/>
      <c r="C5" s="9"/>
      <c r="D5" s="9"/>
      <c r="E5" s="9"/>
      <c r="F5" s="9"/>
      <c r="G5" s="11"/>
    </row>
    <row r="6" spans="2:7" ht="15" customHeight="1" thickBot="1">
      <c r="B6" s="10"/>
      <c r="C6" s="45" t="s">
        <v>2</v>
      </c>
      <c r="D6" s="55"/>
      <c r="E6" s="38"/>
      <c r="F6" s="44"/>
      <c r="G6" s="11"/>
    </row>
    <row r="7" spans="2:7" thickBot="1">
      <c r="B7" s="10"/>
      <c r="C7" s="61" t="s">
        <v>156</v>
      </c>
      <c r="D7" s="58"/>
      <c r="E7" s="39"/>
      <c r="F7" s="44"/>
      <c r="G7" s="11"/>
    </row>
    <row r="8" spans="2:7" ht="15" customHeight="1" thickBot="1">
      <c r="B8" s="10"/>
      <c r="C8" s="45" t="s">
        <v>6</v>
      </c>
      <c r="D8" s="55"/>
      <c r="E8" s="38"/>
      <c r="F8" s="44"/>
      <c r="G8" s="11"/>
    </row>
    <row r="9" spans="2:7" ht="15" customHeight="1" thickBot="1">
      <c r="B9" s="10"/>
      <c r="C9" s="46"/>
      <c r="D9" s="81"/>
      <c r="E9" s="38"/>
      <c r="F9" s="44"/>
      <c r="G9" s="11"/>
    </row>
    <row r="10" spans="2:7" ht="15" customHeight="1" thickBot="1">
      <c r="B10" s="10"/>
      <c r="C10" s="80" t="s">
        <v>9</v>
      </c>
      <c r="D10" s="82">
        <v>112</v>
      </c>
      <c r="E10" s="40"/>
      <c r="F10" s="44"/>
      <c r="G10" s="11"/>
    </row>
    <row r="11" spans="2:7" ht="15" customHeight="1" thickBot="1">
      <c r="B11" s="10"/>
      <c r="C11" s="45" t="s">
        <v>10</v>
      </c>
      <c r="D11" s="56">
        <f>D6*D10</f>
        <v>0</v>
      </c>
      <c r="E11" s="41"/>
      <c r="F11" s="44"/>
      <c r="G11" s="11"/>
    </row>
    <row r="12" spans="2:7" ht="15" customHeight="1" thickBot="1">
      <c r="B12" s="10"/>
      <c r="C12" s="46" t="s">
        <v>11</v>
      </c>
      <c r="D12" s="59">
        <f>D7*D8</f>
        <v>0</v>
      </c>
      <c r="E12" s="41"/>
      <c r="F12" s="44"/>
      <c r="G12" s="11"/>
    </row>
    <row r="13" spans="2:7" thickBot="1">
      <c r="B13" s="10"/>
      <c r="C13" s="47" t="s">
        <v>12</v>
      </c>
      <c r="D13" s="56" t="e">
        <f>D12/D6</f>
        <v>#DIV/0!</v>
      </c>
      <c r="E13" s="41"/>
      <c r="F13" s="44"/>
      <c r="G13" s="11"/>
    </row>
    <row r="14" spans="2:7" ht="15" customHeight="1" thickBot="1">
      <c r="B14" s="10"/>
      <c r="C14" s="48" t="s">
        <v>13</v>
      </c>
      <c r="D14" s="60" t="e">
        <f>D11/D7</f>
        <v>#DIV/0!</v>
      </c>
      <c r="E14" s="42"/>
      <c r="F14" s="44"/>
      <c r="G14" s="11"/>
    </row>
    <row r="15" spans="2:7" ht="15" customHeight="1" thickBot="1">
      <c r="B15" s="12"/>
      <c r="C15" s="14"/>
      <c r="D15" s="14"/>
      <c r="E15" s="14"/>
      <c r="F15" s="14"/>
      <c r="G15" s="13"/>
    </row>
    <row r="16" spans="2:7" ht="15" customHeight="1" thickBot="1">
      <c r="B16" s="9"/>
      <c r="C16" s="9"/>
      <c r="D16" s="9"/>
      <c r="E16" s="9"/>
      <c r="F16" s="9"/>
      <c r="G16" s="9"/>
    </row>
    <row r="17" spans="2:11" ht="15" customHeight="1" thickBot="1">
      <c r="B17" s="810" t="s">
        <v>157</v>
      </c>
      <c r="C17" s="810"/>
      <c r="D17" s="810"/>
      <c r="E17" s="810"/>
      <c r="F17" s="810"/>
      <c r="G17" s="810"/>
    </row>
    <row r="18" spans="2:11" ht="15" customHeight="1" thickBot="1">
      <c r="B18" s="811" t="s">
        <v>158</v>
      </c>
      <c r="C18" s="812"/>
      <c r="D18" s="812"/>
      <c r="E18" s="812"/>
      <c r="F18" s="812"/>
      <c r="G18" s="813"/>
    </row>
    <row r="19" spans="2:11" ht="15" customHeight="1" thickBot="1">
      <c r="B19" s="1122" t="s">
        <v>159</v>
      </c>
      <c r="C19" s="1122"/>
      <c r="D19" s="1122"/>
      <c r="E19" s="1122"/>
      <c r="F19" s="1122"/>
      <c r="G19" s="1122"/>
    </row>
    <row r="20" spans="2:11" ht="15" customHeight="1" thickBot="1">
      <c r="B20" s="1122" t="s">
        <v>160</v>
      </c>
      <c r="C20" s="1122"/>
      <c r="D20" s="1122"/>
      <c r="E20" s="1122"/>
      <c r="F20" s="1122"/>
      <c r="G20" s="1122"/>
    </row>
    <row r="21" spans="2:11" ht="15" customHeight="1" thickBot="1">
      <c r="B21" s="1122" t="s">
        <v>161</v>
      </c>
      <c r="C21" s="1122"/>
      <c r="D21" s="1122"/>
      <c r="E21" s="1122"/>
      <c r="F21" s="1122"/>
      <c r="G21" s="1122"/>
    </row>
    <row r="23" spans="2:11" ht="15" customHeight="1">
      <c r="C23" s="2" t="s">
        <v>162</v>
      </c>
    </row>
    <row r="28" spans="2:11" ht="15" customHeight="1">
      <c r="K28" s="3"/>
    </row>
    <row r="29" spans="2:11" ht="15" customHeight="1">
      <c r="K29" s="3"/>
    </row>
    <row r="30" spans="2:11" ht="15" customHeight="1">
      <c r="K30" s="3"/>
    </row>
    <row r="31" spans="2:11" ht="15" customHeight="1">
      <c r="K31" s="3"/>
    </row>
  </sheetData>
  <sheetProtection algorithmName="SHA-512" hashValue="C3hjxtV045uU5/6jRumrQFHrMiZ2Zi4yRlBY82PXtUcWU0OfmN5K5gK9c3eKaomG9Mpu4LS18z1SoHQcDT9l0g==" saltValue="HVOkVbTIVDmDGIt4jA7bQg==" spinCount="100000" sheet="1" objects="1" scenarios="1" selectLockedCells="1"/>
  <mergeCells count="6">
    <mergeCell ref="C4:F4"/>
    <mergeCell ref="B17:G17"/>
    <mergeCell ref="B19:G19"/>
    <mergeCell ref="B20:G20"/>
    <mergeCell ref="B21:G21"/>
    <mergeCell ref="B18:G18"/>
  </mergeCells>
  <conditionalFormatting sqref="E13">
    <cfRule type="cellIs" dxfId="22" priority="1" operator="greaterThanOrEqual">
      <formula>200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sheetPr>
  <dimension ref="B1:M31"/>
  <sheetViews>
    <sheetView zoomScale="110" zoomScaleNormal="110" workbookViewId="0">
      <selection activeCell="D6" sqref="D6"/>
    </sheetView>
  </sheetViews>
  <sheetFormatPr defaultColWidth="9" defaultRowHeight="14.25" customHeight="1"/>
  <cols>
    <col min="1" max="1" width="3.42578125" style="2" customWidth="1"/>
    <col min="2" max="2" width="4.42578125" style="2" customWidth="1"/>
    <col min="3" max="3" width="36" style="2" bestFit="1" customWidth="1"/>
    <col min="4" max="4" width="10.42578125" style="2" customWidth="1"/>
    <col min="5" max="5" width="3.140625" style="2" customWidth="1"/>
    <col min="6" max="6" width="17.42578125" style="2" customWidth="1"/>
    <col min="7" max="7" width="4.42578125" style="2" customWidth="1"/>
    <col min="8" max="8" width="9" style="2"/>
    <col min="9" max="9" width="4.42578125" style="2" customWidth="1"/>
    <col min="10" max="10" width="31.7109375" style="2" customWidth="1"/>
    <col min="11" max="11" width="11.5703125" style="2" customWidth="1"/>
    <col min="12" max="12" width="4.42578125" style="2" customWidth="1"/>
    <col min="13" max="13" width="36" style="2" customWidth="1"/>
    <col min="14" max="14" width="10.42578125" style="2" customWidth="1"/>
    <col min="15" max="15" width="4.42578125" style="2" customWidth="1"/>
    <col min="16" max="16384" width="9" style="2"/>
  </cols>
  <sheetData>
    <row r="1" spans="2:13" ht="19.149999999999999" customHeight="1"/>
    <row r="2" spans="2:13" ht="15" customHeight="1" thickBot="1"/>
    <row r="3" spans="2:13" ht="15" customHeight="1" thickBot="1">
      <c r="B3" s="210"/>
      <c r="C3" s="211"/>
      <c r="D3" s="211"/>
      <c r="E3" s="211"/>
      <c r="F3" s="211"/>
      <c r="G3" s="212"/>
      <c r="I3" s="210"/>
      <c r="J3" s="211"/>
      <c r="K3" s="211"/>
      <c r="L3" s="212"/>
    </row>
    <row r="4" spans="2:13" ht="15" customHeight="1" thickBot="1">
      <c r="B4" s="213"/>
      <c r="C4" s="636" t="s">
        <v>0</v>
      </c>
      <c r="D4" s="650"/>
      <c r="E4" s="650"/>
      <c r="F4" s="637"/>
      <c r="G4" s="214"/>
      <c r="I4" s="213"/>
      <c r="J4" s="636" t="s">
        <v>1</v>
      </c>
      <c r="K4" s="637"/>
      <c r="L4" s="230"/>
      <c r="M4" s="98"/>
    </row>
    <row r="5" spans="2:13" ht="15" customHeight="1" thickBot="1">
      <c r="B5" s="213"/>
      <c r="C5" s="9"/>
      <c r="D5" s="9"/>
      <c r="E5" s="9"/>
      <c r="F5" s="9"/>
      <c r="G5" s="214"/>
      <c r="I5" s="213"/>
      <c r="J5" s="9"/>
      <c r="K5" s="9"/>
      <c r="L5" s="214"/>
    </row>
    <row r="6" spans="2:13" ht="15" customHeight="1" thickBot="1">
      <c r="B6" s="213"/>
      <c r="C6" s="218" t="s">
        <v>2</v>
      </c>
      <c r="D6" s="219"/>
      <c r="E6" s="38"/>
      <c r="F6" s="651" t="s">
        <v>3</v>
      </c>
      <c r="G6" s="214"/>
      <c r="I6" s="213"/>
      <c r="J6" s="218" t="s">
        <v>2</v>
      </c>
      <c r="K6" s="219"/>
      <c r="L6" s="231"/>
      <c r="M6" s="95"/>
    </row>
    <row r="7" spans="2:13" ht="15" customHeight="1" thickBot="1">
      <c r="B7" s="213"/>
      <c r="C7" s="218" t="s">
        <v>4</v>
      </c>
      <c r="D7" s="220"/>
      <c r="E7" s="39"/>
      <c r="F7" s="652"/>
      <c r="G7" s="214"/>
      <c r="I7" s="213"/>
      <c r="J7" s="218" t="s">
        <v>5</v>
      </c>
      <c r="K7" s="219"/>
      <c r="L7" s="232"/>
      <c r="M7" s="95"/>
    </row>
    <row r="8" spans="2:13" ht="15" customHeight="1" thickBot="1">
      <c r="B8" s="213"/>
      <c r="C8" s="218" t="s">
        <v>6</v>
      </c>
      <c r="D8" s="219">
        <v>10</v>
      </c>
      <c r="E8" s="38"/>
      <c r="F8" s="652"/>
      <c r="G8" s="214"/>
      <c r="I8" s="213"/>
      <c r="J8" s="218" t="s">
        <v>7</v>
      </c>
      <c r="K8" s="219"/>
      <c r="L8" s="231"/>
      <c r="M8" s="95"/>
    </row>
    <row r="9" spans="2:13" ht="15" customHeight="1" thickBot="1">
      <c r="B9" s="213"/>
      <c r="C9" s="250"/>
      <c r="D9" s="255"/>
      <c r="E9" s="38"/>
      <c r="F9" s="652"/>
      <c r="G9" s="214"/>
      <c r="I9" s="213"/>
      <c r="J9" s="250"/>
      <c r="K9" s="255"/>
      <c r="L9" s="231"/>
      <c r="M9" s="95"/>
    </row>
    <row r="10" spans="2:13" ht="15" customHeight="1" thickBot="1">
      <c r="B10" s="213"/>
      <c r="C10" s="223" t="s">
        <v>8</v>
      </c>
      <c r="D10" s="224">
        <v>200</v>
      </c>
      <c r="E10" s="40"/>
      <c r="F10" s="652"/>
      <c r="G10" s="214"/>
      <c r="I10" s="213"/>
      <c r="J10" s="223" t="s">
        <v>9</v>
      </c>
      <c r="K10" s="224">
        <v>200</v>
      </c>
      <c r="L10" s="233"/>
      <c r="M10" s="95"/>
    </row>
    <row r="11" spans="2:13" ht="15" customHeight="1" thickBot="1">
      <c r="B11" s="213"/>
      <c r="C11" s="218" t="s">
        <v>10</v>
      </c>
      <c r="D11" s="225">
        <f>D6*D10</f>
        <v>0</v>
      </c>
      <c r="E11" s="41"/>
      <c r="F11" s="652"/>
      <c r="G11" s="214"/>
      <c r="I11" s="213"/>
      <c r="J11" s="218" t="s">
        <v>10</v>
      </c>
      <c r="K11" s="225">
        <f>K6*K10</f>
        <v>0</v>
      </c>
      <c r="L11" s="234"/>
      <c r="M11" s="95"/>
    </row>
    <row r="12" spans="2:13" ht="15" customHeight="1" thickBot="1">
      <c r="B12" s="213"/>
      <c r="C12" s="221" t="s">
        <v>11</v>
      </c>
      <c r="D12" s="226">
        <f>D7*D8</f>
        <v>0</v>
      </c>
      <c r="E12" s="41"/>
      <c r="F12" s="652"/>
      <c r="G12" s="214"/>
      <c r="I12" s="213"/>
      <c r="J12" s="221" t="s">
        <v>11</v>
      </c>
      <c r="K12" s="226">
        <f>K7*K8</f>
        <v>0</v>
      </c>
      <c r="L12" s="214"/>
    </row>
    <row r="13" spans="2:13" ht="15" customHeight="1" thickBot="1">
      <c r="B13" s="213"/>
      <c r="C13" s="227" t="s">
        <v>12</v>
      </c>
      <c r="D13" s="225" t="e">
        <f>D12/D6</f>
        <v>#DIV/0!</v>
      </c>
      <c r="E13" s="41"/>
      <c r="F13" s="652"/>
      <c r="G13" s="214"/>
      <c r="I13" s="213"/>
      <c r="J13" s="227" t="s">
        <v>12</v>
      </c>
      <c r="K13" s="225" t="e">
        <f>K12/K6</f>
        <v>#DIV/0!</v>
      </c>
      <c r="L13" s="235"/>
      <c r="M13" s="96"/>
    </row>
    <row r="14" spans="2:13" ht="15" customHeight="1" thickBot="1">
      <c r="B14" s="213"/>
      <c r="C14" s="228" t="s">
        <v>13</v>
      </c>
      <c r="D14" s="229" t="e">
        <f>D11/D7</f>
        <v>#DIV/0!</v>
      </c>
      <c r="E14" s="42"/>
      <c r="F14" s="653"/>
      <c r="G14" s="214"/>
      <c r="I14" s="213"/>
      <c r="J14" s="228" t="s">
        <v>14</v>
      </c>
      <c r="K14" s="229" t="e">
        <f>K11/K7</f>
        <v>#DIV/0!</v>
      </c>
      <c r="L14" s="236"/>
      <c r="M14" s="97"/>
    </row>
    <row r="15" spans="2:13" ht="15" customHeight="1" thickBot="1">
      <c r="B15" s="215"/>
      <c r="C15" s="216"/>
      <c r="D15" s="216"/>
      <c r="E15" s="216"/>
      <c r="F15" s="216"/>
      <c r="G15" s="217"/>
      <c r="I15" s="215"/>
      <c r="J15" s="216"/>
      <c r="K15" s="216"/>
      <c r="L15" s="217"/>
    </row>
    <row r="16" spans="2:13" ht="15" customHeight="1" thickBot="1"/>
    <row r="17" spans="3:11" ht="18.600000000000001" thickBot="1">
      <c r="C17" s="647" t="s">
        <v>15</v>
      </c>
      <c r="D17" s="648"/>
      <c r="E17" s="648"/>
      <c r="F17" s="648"/>
      <c r="G17" s="648"/>
      <c r="H17" s="648"/>
      <c r="I17" s="648"/>
      <c r="J17" s="648"/>
      <c r="K17" s="649"/>
    </row>
    <row r="18" spans="3:11" ht="15" customHeight="1">
      <c r="C18" s="638" t="s">
        <v>16</v>
      </c>
      <c r="D18" s="639"/>
      <c r="E18" s="639"/>
      <c r="F18" s="639"/>
      <c r="G18" s="639"/>
      <c r="H18" s="639"/>
      <c r="I18" s="639"/>
      <c r="J18" s="639"/>
      <c r="K18" s="640"/>
    </row>
    <row r="19" spans="3:11" ht="15" customHeight="1">
      <c r="C19" s="641"/>
      <c r="D19" s="642"/>
      <c r="E19" s="642"/>
      <c r="F19" s="642"/>
      <c r="G19" s="642"/>
      <c r="H19" s="642"/>
      <c r="I19" s="642"/>
      <c r="J19" s="642"/>
      <c r="K19" s="643"/>
    </row>
    <row r="20" spans="3:11" ht="15" customHeight="1">
      <c r="C20" s="641"/>
      <c r="D20" s="642"/>
      <c r="E20" s="642"/>
      <c r="F20" s="642"/>
      <c r="G20" s="642"/>
      <c r="H20" s="642"/>
      <c r="I20" s="642"/>
      <c r="J20" s="642"/>
      <c r="K20" s="643"/>
    </row>
    <row r="21" spans="3:11" ht="15" customHeight="1">
      <c r="C21" s="641"/>
      <c r="D21" s="642"/>
      <c r="E21" s="642"/>
      <c r="F21" s="642"/>
      <c r="G21" s="642"/>
      <c r="H21" s="642"/>
      <c r="I21" s="642"/>
      <c r="J21" s="642"/>
      <c r="K21" s="643"/>
    </row>
    <row r="22" spans="3:11" ht="15" customHeight="1">
      <c r="C22" s="641"/>
      <c r="D22" s="642"/>
      <c r="E22" s="642"/>
      <c r="F22" s="642"/>
      <c r="G22" s="642"/>
      <c r="H22" s="642"/>
      <c r="I22" s="642"/>
      <c r="J22" s="642"/>
      <c r="K22" s="643"/>
    </row>
    <row r="23" spans="3:11" ht="15" customHeight="1" thickBot="1">
      <c r="C23" s="644"/>
      <c r="D23" s="645"/>
      <c r="E23" s="645"/>
      <c r="F23" s="645"/>
      <c r="G23" s="645"/>
      <c r="H23" s="645"/>
      <c r="I23" s="645"/>
      <c r="J23" s="645"/>
      <c r="K23" s="646"/>
    </row>
    <row r="24" spans="3:11" ht="15" customHeight="1"/>
    <row r="25" spans="3:11" ht="15" customHeight="1"/>
    <row r="26" spans="3:11" ht="15" customHeight="1"/>
    <row r="27" spans="3:11" ht="15" customHeight="1"/>
    <row r="28" spans="3:11" ht="15" customHeight="1"/>
    <row r="29" spans="3:11" ht="15" customHeight="1"/>
    <row r="30" spans="3:11" ht="15" customHeight="1"/>
    <row r="31" spans="3:11" ht="15" customHeight="1"/>
  </sheetData>
  <sheetProtection algorithmName="SHA-512" hashValue="ftIEP5OnAdAKh3tApryGaQ+Ni3Hq51MJKGEDYMQn+VjJXijU32sYwuy/Bq3R7ss2uKebETYQAJtpNSlbStm0Tg==" saltValue="kUDrwnsM10l0VX+tHw6u4w==" spinCount="100000" sheet="1" objects="1" scenarios="1" selectLockedCells="1"/>
  <mergeCells count="5">
    <mergeCell ref="J4:K4"/>
    <mergeCell ref="C18:K23"/>
    <mergeCell ref="C17:K17"/>
    <mergeCell ref="C4:F4"/>
    <mergeCell ref="F6:F14"/>
  </mergeCells>
  <conditionalFormatting sqref="D13:E13">
    <cfRule type="cellIs" dxfId="33" priority="2" operator="greaterThanOrEqual">
      <formula>200</formula>
    </cfRule>
  </conditionalFormatting>
  <conditionalFormatting sqref="K13">
    <cfRule type="cellIs" dxfId="32" priority="1" operator="greaterThanOrEqual">
      <formula>200</formula>
    </cfRule>
  </conditionalFormatting>
  <conditionalFormatting sqref="L14">
    <cfRule type="cellIs" dxfId="31" priority="5" operator="greaterThanOrEqual">
      <formula>200</formula>
    </cfRule>
  </conditionalFormatting>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tabColor theme="9" tint="0.39997558519241921"/>
  </sheetPr>
  <dimension ref="B3:K17"/>
  <sheetViews>
    <sheetView zoomScale="115" zoomScaleNormal="115" workbookViewId="0">
      <selection activeCell="D7" sqref="D7"/>
    </sheetView>
  </sheetViews>
  <sheetFormatPr defaultColWidth="9" defaultRowHeight="14.25" customHeight="1"/>
  <cols>
    <col min="1" max="2" width="4.42578125" style="3" customWidth="1"/>
    <col min="3" max="3" width="33.42578125" style="3" bestFit="1" customWidth="1"/>
    <col min="4" max="4" width="12.42578125" style="3" bestFit="1" customWidth="1"/>
    <col min="5" max="6" width="4.42578125" style="3" customWidth="1"/>
    <col min="7" max="16384" width="9" style="3"/>
  </cols>
  <sheetData>
    <row r="3" spans="2:11" ht="15" customHeight="1" thickBot="1"/>
    <row r="4" spans="2:11" ht="15" customHeight="1" thickBot="1">
      <c r="B4" s="237"/>
      <c r="C4" s="238"/>
      <c r="D4" s="238"/>
      <c r="E4" s="239"/>
    </row>
    <row r="5" spans="2:11" ht="15" customHeight="1" thickBot="1">
      <c r="B5" s="240"/>
      <c r="C5" s="695" t="s">
        <v>163</v>
      </c>
      <c r="D5" s="696"/>
      <c r="E5" s="242"/>
    </row>
    <row r="6" spans="2:11" ht="15" customHeight="1" thickBot="1">
      <c r="B6" s="240"/>
      <c r="C6" s="277"/>
      <c r="D6" s="241"/>
      <c r="E6" s="242"/>
    </row>
    <row r="7" spans="2:11" ht="15" customHeight="1" thickBot="1">
      <c r="B7" s="240"/>
      <c r="C7" s="218" t="s">
        <v>2</v>
      </c>
      <c r="D7" s="278"/>
      <c r="E7" s="242"/>
    </row>
    <row r="8" spans="2:11" ht="15" customHeight="1" thickBot="1">
      <c r="B8" s="240"/>
      <c r="C8" s="279" t="s">
        <v>53</v>
      </c>
      <c r="D8" s="280"/>
      <c r="E8" s="242"/>
    </row>
    <row r="9" spans="2:11" ht="15" customHeight="1" thickBot="1">
      <c r="B9" s="240"/>
      <c r="C9" s="279" t="s">
        <v>54</v>
      </c>
      <c r="D9" s="281"/>
      <c r="E9" s="242"/>
    </row>
    <row r="10" spans="2:11" ht="15" customHeight="1" thickBot="1">
      <c r="B10" s="240"/>
      <c r="C10" s="282"/>
      <c r="D10" s="283"/>
      <c r="E10" s="242"/>
    </row>
    <row r="11" spans="2:11" ht="15" customHeight="1" thickBot="1">
      <c r="B11" s="240"/>
      <c r="C11" s="223" t="s">
        <v>9</v>
      </c>
      <c r="D11" s="284">
        <v>30</v>
      </c>
      <c r="E11" s="242"/>
    </row>
    <row r="12" spans="2:11" ht="15" customHeight="1" thickBot="1">
      <c r="B12" s="240"/>
      <c r="C12" s="218" t="s">
        <v>10</v>
      </c>
      <c r="D12" s="285">
        <f>D11*D7</f>
        <v>0</v>
      </c>
      <c r="E12" s="242"/>
    </row>
    <row r="13" spans="2:11" ht="15" thickBot="1">
      <c r="B13" s="240"/>
      <c r="C13" s="286" t="s">
        <v>56</v>
      </c>
      <c r="D13" s="285">
        <f>D8/100*1000</f>
        <v>0</v>
      </c>
      <c r="E13" s="242"/>
      <c r="G13" s="730" t="s">
        <v>68</v>
      </c>
      <c r="H13" s="731"/>
      <c r="I13" s="731"/>
      <c r="J13" s="731"/>
      <c r="K13" s="732"/>
    </row>
    <row r="14" spans="2:11" ht="15" customHeight="1" thickBot="1">
      <c r="B14" s="240"/>
      <c r="C14" s="287" t="s">
        <v>58</v>
      </c>
      <c r="D14" s="288">
        <f>D13*D9</f>
        <v>0</v>
      </c>
      <c r="E14" s="242"/>
    </row>
    <row r="15" spans="2:11" ht="14.25" customHeight="1" thickBot="1">
      <c r="B15" s="240"/>
      <c r="C15" s="289" t="s">
        <v>59</v>
      </c>
      <c r="D15" s="290" t="e">
        <f>D14/D7</f>
        <v>#DIV/0!</v>
      </c>
      <c r="E15" s="242"/>
    </row>
    <row r="16" spans="2:11" ht="14.25" customHeight="1" thickBot="1">
      <c r="B16" s="240"/>
      <c r="C16" s="291" t="s">
        <v>60</v>
      </c>
      <c r="D16" s="292" t="e">
        <f>D12/D13</f>
        <v>#DIV/0!</v>
      </c>
      <c r="E16" s="242"/>
    </row>
    <row r="17" spans="2:5" ht="14.25" customHeight="1" thickBot="1">
      <c r="B17" s="246"/>
      <c r="C17" s="276"/>
      <c r="D17" s="276"/>
      <c r="E17" s="248"/>
    </row>
  </sheetData>
  <sheetProtection algorithmName="SHA-512" hashValue="WM+owPBBdFQULkp/pOjy2IRcjLS2gnahNAdMVPagIim4ozPbGATc7tWlyj0RL+EDcg/nX2C2bCat8wQaZjvAGg==" saltValue="VEbPll6iXZ+OYWcjO0nQ2g==" spinCount="100000" sheet="1" selectLockedCells="1"/>
  <mergeCells count="2">
    <mergeCell ref="C5:D5"/>
    <mergeCell ref="G13:K13"/>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theme="9" tint="0.39997558519241921"/>
  </sheetPr>
  <dimension ref="B1:I19"/>
  <sheetViews>
    <sheetView zoomScale="115" zoomScaleNormal="115" workbookViewId="0">
      <selection activeCell="D6" sqref="D6"/>
    </sheetView>
  </sheetViews>
  <sheetFormatPr defaultColWidth="9" defaultRowHeight="14.25" customHeight="1"/>
  <cols>
    <col min="1" max="2" width="4.42578125" style="2" customWidth="1"/>
    <col min="3" max="3" width="35.42578125" style="2" bestFit="1" customWidth="1"/>
    <col min="4" max="4" width="18.42578125" style="2" customWidth="1"/>
    <col min="5" max="6" width="4.42578125" style="2" customWidth="1"/>
    <col min="7" max="16384" width="9" style="2"/>
  </cols>
  <sheetData>
    <row r="1" spans="2:9" ht="15" customHeight="1"/>
    <row r="2" spans="2:9" ht="15" customHeight="1" thickBot="1"/>
    <row r="3" spans="2:9" ht="15" customHeight="1" thickBot="1">
      <c r="B3" s="210"/>
      <c r="C3" s="211"/>
      <c r="D3" s="211"/>
      <c r="E3" s="212"/>
    </row>
    <row r="4" spans="2:9" ht="15" customHeight="1" thickBot="1">
      <c r="B4" s="213"/>
      <c r="C4" s="636" t="s">
        <v>164</v>
      </c>
      <c r="D4" s="637"/>
      <c r="E4" s="214"/>
    </row>
    <row r="5" spans="2:9" ht="15" customHeight="1" thickBot="1">
      <c r="B5" s="213"/>
      <c r="C5" s="9"/>
      <c r="D5" s="9"/>
      <c r="E5" s="214"/>
    </row>
    <row r="6" spans="2:9" ht="15" customHeight="1" thickBot="1">
      <c r="B6" s="213"/>
      <c r="C6" s="218" t="s">
        <v>2</v>
      </c>
      <c r="D6" s="249"/>
      <c r="E6" s="214"/>
    </row>
    <row r="7" spans="2:9" ht="15" customHeight="1" thickBot="1">
      <c r="B7" s="213"/>
      <c r="C7" s="218" t="s">
        <v>165</v>
      </c>
      <c r="D7" s="249"/>
      <c r="E7" s="214"/>
    </row>
    <row r="8" spans="2:9" ht="15" customHeight="1" thickBot="1">
      <c r="B8" s="213"/>
      <c r="C8" s="218" t="s">
        <v>166</v>
      </c>
      <c r="D8" s="249"/>
      <c r="E8" s="214"/>
      <c r="G8" s="814" t="s">
        <v>167</v>
      </c>
      <c r="H8" s="815"/>
      <c r="I8" s="816"/>
    </row>
    <row r="9" spans="2:9" ht="15" customHeight="1" thickBot="1">
      <c r="B9" s="213"/>
      <c r="C9" s="250"/>
      <c r="D9" s="251"/>
      <c r="E9" s="214"/>
      <c r="G9" s="817"/>
      <c r="H9" s="818"/>
      <c r="I9" s="819"/>
    </row>
    <row r="10" spans="2:9" ht="15" customHeight="1" thickBot="1">
      <c r="B10" s="213"/>
      <c r="C10" s="223" t="s">
        <v>9</v>
      </c>
      <c r="D10" s="320">
        <v>500</v>
      </c>
      <c r="E10" s="214"/>
      <c r="G10" s="820"/>
      <c r="H10" s="821"/>
      <c r="I10" s="822"/>
    </row>
    <row r="11" spans="2:9" ht="15" customHeight="1" thickBot="1">
      <c r="B11" s="213"/>
      <c r="C11" s="218" t="s">
        <v>10</v>
      </c>
      <c r="D11" s="360">
        <f>D6*D10</f>
        <v>0</v>
      </c>
      <c r="E11" s="214"/>
    </row>
    <row r="12" spans="2:9" ht="15" customHeight="1" thickBot="1">
      <c r="B12" s="213"/>
      <c r="C12" s="221" t="s">
        <v>11</v>
      </c>
      <c r="D12" s="361">
        <f>D8*D7</f>
        <v>0</v>
      </c>
      <c r="E12" s="214"/>
    </row>
    <row r="13" spans="2:9" ht="15" thickBot="1">
      <c r="B13" s="213"/>
      <c r="C13" s="227" t="s">
        <v>12</v>
      </c>
      <c r="D13" s="362" t="e">
        <f>D12/D6</f>
        <v>#DIV/0!</v>
      </c>
      <c r="E13" s="214"/>
    </row>
    <row r="14" spans="2:9" ht="15" customHeight="1" thickBot="1">
      <c r="B14" s="213"/>
      <c r="C14" s="228" t="s">
        <v>14</v>
      </c>
      <c r="D14" s="252" t="e">
        <f>D11/D8</f>
        <v>#DIV/0!</v>
      </c>
      <c r="E14" s="214"/>
    </row>
    <row r="15" spans="2:9" ht="15" customHeight="1" thickBot="1">
      <c r="B15" s="215"/>
      <c r="C15" s="216"/>
      <c r="D15" s="216"/>
      <c r="E15" s="217"/>
    </row>
    <row r="19" spans="2:2" ht="14.25" customHeight="1">
      <c r="B19" s="62"/>
    </row>
  </sheetData>
  <sheetProtection algorithmName="SHA-512" hashValue="QMNSIJ7Ke3muhvux4ad2F0Qc79wtgoGojqx1f6bQVgSkgh/fLaHlmHFgaFdfIwbZHBW90Ee3H64MWfHAj54Eyg==" saltValue="g2Pwo2r+AclM5nJrhHVkOA==" spinCount="100000" sheet="1" selectLockedCells="1"/>
  <mergeCells count="2">
    <mergeCell ref="C4:D4"/>
    <mergeCell ref="G8:I10"/>
  </mergeCells>
  <conditionalFormatting sqref="D13">
    <cfRule type="cellIs" dxfId="21" priority="1" operator="greaterThanOrEqual">
      <formula>500</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theme="9" tint="0.39997558519241921"/>
  </sheetPr>
  <dimension ref="B2:K16"/>
  <sheetViews>
    <sheetView zoomScale="115" zoomScaleNormal="115" workbookViewId="0">
      <selection activeCell="D6" sqref="D6"/>
    </sheetView>
  </sheetViews>
  <sheetFormatPr defaultRowHeight="14.45"/>
  <cols>
    <col min="2" max="2" width="4.42578125" customWidth="1"/>
    <col min="3" max="3" width="36.42578125" customWidth="1"/>
    <col min="4" max="4" width="17.5703125" customWidth="1"/>
    <col min="5" max="5" width="4.42578125" customWidth="1"/>
    <col min="6" max="6" width="4.140625" customWidth="1"/>
  </cols>
  <sheetData>
    <row r="2" spans="2:11" ht="15" thickBot="1"/>
    <row r="3" spans="2:11" ht="15" thickBot="1">
      <c r="B3" s="237"/>
      <c r="C3" s="238"/>
      <c r="D3" s="238"/>
      <c r="E3" s="239"/>
    </row>
    <row r="4" spans="2:11" ht="15" thickBot="1">
      <c r="B4" s="240"/>
      <c r="C4" s="777" t="s">
        <v>168</v>
      </c>
      <c r="D4" s="778"/>
      <c r="E4" s="242"/>
    </row>
    <row r="5" spans="2:11" ht="15" thickBot="1">
      <c r="B5" s="240"/>
      <c r="C5" s="277"/>
      <c r="D5" s="241"/>
      <c r="E5" s="242"/>
    </row>
    <row r="6" spans="2:11" ht="15" customHeight="1" thickBot="1">
      <c r="B6" s="240"/>
      <c r="C6" s="218" t="s">
        <v>2</v>
      </c>
      <c r="D6" s="278"/>
      <c r="E6" s="242"/>
    </row>
    <row r="7" spans="2:11" ht="15" customHeight="1" thickBot="1">
      <c r="B7" s="240"/>
      <c r="C7" s="279" t="s">
        <v>53</v>
      </c>
      <c r="D7" s="280"/>
      <c r="E7" s="242"/>
    </row>
    <row r="8" spans="2:11" ht="15" customHeight="1" thickBot="1">
      <c r="B8" s="240"/>
      <c r="C8" s="279" t="s">
        <v>54</v>
      </c>
      <c r="D8" s="281"/>
      <c r="E8" s="242"/>
    </row>
    <row r="9" spans="2:11" ht="15" customHeight="1" thickBot="1">
      <c r="B9" s="240"/>
      <c r="C9" s="282"/>
      <c r="D9" s="283"/>
      <c r="E9" s="242"/>
    </row>
    <row r="10" spans="2:11" ht="15" customHeight="1" thickBot="1">
      <c r="B10" s="240"/>
      <c r="C10" s="223" t="s">
        <v>95</v>
      </c>
      <c r="D10" s="310">
        <v>0.25</v>
      </c>
      <c r="E10" s="242"/>
    </row>
    <row r="11" spans="2:11" ht="15" customHeight="1" thickBot="1">
      <c r="B11" s="240"/>
      <c r="C11" s="218" t="s">
        <v>97</v>
      </c>
      <c r="D11" s="285">
        <f>D10*D6</f>
        <v>0</v>
      </c>
      <c r="E11" s="242"/>
    </row>
    <row r="12" spans="2:11" ht="15" customHeight="1" thickBot="1">
      <c r="B12" s="240"/>
      <c r="C12" s="286" t="s">
        <v>169</v>
      </c>
      <c r="D12" s="285">
        <f>D7/100</f>
        <v>0</v>
      </c>
      <c r="E12" s="242"/>
      <c r="G12" s="730" t="s">
        <v>170</v>
      </c>
      <c r="H12" s="731"/>
      <c r="I12" s="731"/>
      <c r="J12" s="732"/>
      <c r="K12" s="363"/>
    </row>
    <row r="13" spans="2:11" ht="15" customHeight="1" thickBot="1">
      <c r="B13" s="240"/>
      <c r="C13" s="287" t="s">
        <v>171</v>
      </c>
      <c r="D13" s="288">
        <f>D12*D8</f>
        <v>0</v>
      </c>
      <c r="E13" s="242"/>
    </row>
    <row r="14" spans="2:11" ht="15" customHeight="1" thickBot="1">
      <c r="B14" s="240"/>
      <c r="C14" s="289" t="s">
        <v>172</v>
      </c>
      <c r="D14" s="317" t="e">
        <f>D13/D6</f>
        <v>#DIV/0!</v>
      </c>
      <c r="E14" s="242"/>
    </row>
    <row r="15" spans="2:11" ht="15" customHeight="1" thickBot="1">
      <c r="B15" s="240"/>
      <c r="C15" s="291" t="s">
        <v>60</v>
      </c>
      <c r="D15" s="292" t="e">
        <f>D11/D12</f>
        <v>#DIV/0!</v>
      </c>
      <c r="E15" s="242"/>
    </row>
    <row r="16" spans="2:11" ht="15" thickBot="1">
      <c r="B16" s="246"/>
      <c r="C16" s="247"/>
      <c r="D16" s="247"/>
      <c r="E16" s="248"/>
      <c r="J16" s="126"/>
    </row>
  </sheetData>
  <sheetProtection algorithmName="SHA-512" hashValue="sGIkwmYjXMPdxh0o1+974jlv+GrFI5qkoupb9LDKEkEHmxwVj1GgzQD+GrQqcJwttu/xSEJiPzoLj+88eGa08Q==" saltValue="SYpUGK2ICjE023SMIX11Ig==" spinCount="100000" sheet="1" objects="1" scenarios="1"/>
  <mergeCells count="2">
    <mergeCell ref="C4:D4"/>
    <mergeCell ref="G12:J12"/>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tabColor theme="9" tint="0.39997558519241921"/>
  </sheetPr>
  <dimension ref="A1:T31"/>
  <sheetViews>
    <sheetView zoomScale="115" zoomScaleNormal="115" workbookViewId="0">
      <selection activeCell="C21" sqref="C21"/>
    </sheetView>
  </sheetViews>
  <sheetFormatPr defaultColWidth="9" defaultRowHeight="14.25" customHeight="1"/>
  <cols>
    <col min="1" max="1" width="5.28515625" style="2" customWidth="1"/>
    <col min="2" max="2" width="4.42578125" style="2" customWidth="1"/>
    <col min="3" max="3" width="36" style="2" bestFit="1" customWidth="1"/>
    <col min="4" max="4" width="13.42578125" style="2" customWidth="1"/>
    <col min="5" max="5" width="12" style="2" customWidth="1"/>
    <col min="6" max="6" width="6.85546875" style="2" bestFit="1" customWidth="1"/>
    <col min="7" max="7" width="4.42578125" style="2" customWidth="1"/>
    <col min="8" max="10" width="7.5703125" style="2" customWidth="1"/>
    <col min="11" max="12" width="4.42578125" style="2" customWidth="1"/>
    <col min="13" max="13" width="36" style="2" bestFit="1" customWidth="1"/>
    <col min="14" max="14" width="16" style="2" bestFit="1" customWidth="1"/>
    <col min="15" max="15" width="9.28515625" style="2" customWidth="1"/>
    <col min="16" max="16" width="4.140625" style="2" customWidth="1"/>
    <col min="17" max="17" width="4.85546875" style="2" customWidth="1"/>
    <col min="18" max="21" width="7.5703125" style="2" customWidth="1"/>
    <col min="22" max="16384" width="9" style="2"/>
  </cols>
  <sheetData>
    <row r="1" spans="1:20" ht="15" customHeight="1">
      <c r="A1" s="154"/>
      <c r="B1" s="154"/>
      <c r="C1" s="154"/>
    </row>
    <row r="2" spans="1:20" ht="15" thickBot="1">
      <c r="A2" s="50"/>
      <c r="B2" s="155"/>
      <c r="C2" s="155"/>
    </row>
    <row r="3" spans="1:20" ht="15" thickBot="1">
      <c r="B3" s="210"/>
      <c r="C3" s="211"/>
      <c r="D3" s="211"/>
      <c r="E3" s="211"/>
      <c r="F3" s="212"/>
      <c r="L3" s="424"/>
      <c r="M3" s="425"/>
      <c r="N3" s="425"/>
      <c r="O3" s="425"/>
      <c r="P3" s="426"/>
    </row>
    <row r="4" spans="1:20" ht="15" thickBot="1">
      <c r="B4" s="213"/>
      <c r="C4" s="833" t="s">
        <v>173</v>
      </c>
      <c r="D4" s="834"/>
      <c r="E4" s="835"/>
      <c r="F4" s="214"/>
      <c r="L4" s="213"/>
      <c r="M4" s="823" t="s">
        <v>174</v>
      </c>
      <c r="N4" s="824"/>
      <c r="O4" s="825"/>
      <c r="P4" s="214"/>
    </row>
    <row r="5" spans="1:20" ht="15" customHeight="1" thickBot="1">
      <c r="B5" s="213"/>
      <c r="C5" s="836"/>
      <c r="D5" s="837"/>
      <c r="E5" s="838"/>
      <c r="F5" s="214"/>
      <c r="L5" s="213"/>
      <c r="M5" s="319"/>
      <c r="N5" s="319"/>
      <c r="O5" s="319"/>
      <c r="P5" s="214"/>
    </row>
    <row r="6" spans="1:20" ht="15" thickBot="1">
      <c r="B6" s="213"/>
      <c r="C6" s="319"/>
      <c r="D6" s="319"/>
      <c r="E6" s="319"/>
      <c r="F6" s="214"/>
      <c r="L6" s="213"/>
      <c r="M6" s="218" t="s">
        <v>175</v>
      </c>
      <c r="N6" s="249"/>
      <c r="O6" s="249" t="s">
        <v>176</v>
      </c>
      <c r="P6" s="356"/>
      <c r="R6" s="686" t="s">
        <v>177</v>
      </c>
      <c r="S6" s="687"/>
      <c r="T6" s="688"/>
    </row>
    <row r="7" spans="1:20" ht="15" customHeight="1" thickBot="1">
      <c r="B7" s="213"/>
      <c r="C7" s="218" t="s">
        <v>175</v>
      </c>
      <c r="D7" s="249"/>
      <c r="E7" s="249" t="s">
        <v>178</v>
      </c>
      <c r="F7" s="214"/>
      <c r="H7" s="686" t="s">
        <v>177</v>
      </c>
      <c r="I7" s="687"/>
      <c r="J7" s="688"/>
      <c r="L7" s="213"/>
      <c r="M7" s="218" t="s">
        <v>179</v>
      </c>
      <c r="N7" s="249"/>
      <c r="O7" s="249" t="s">
        <v>176</v>
      </c>
      <c r="P7" s="214"/>
      <c r="R7" s="692"/>
      <c r="S7" s="693"/>
      <c r="T7" s="694"/>
    </row>
    <row r="8" spans="1:20" ht="15" thickBot="1">
      <c r="B8" s="213"/>
      <c r="C8" s="218" t="s">
        <v>179</v>
      </c>
      <c r="D8" s="249"/>
      <c r="E8" s="249" t="s">
        <v>176</v>
      </c>
      <c r="F8" s="214"/>
      <c r="H8" s="692"/>
      <c r="I8" s="693"/>
      <c r="J8" s="694"/>
      <c r="L8" s="213"/>
      <c r="M8" s="378" t="s">
        <v>180</v>
      </c>
      <c r="N8" s="360">
        <f>N6+N7</f>
        <v>0</v>
      </c>
      <c r="O8" s="249" t="s">
        <v>176</v>
      </c>
      <c r="P8" s="214"/>
      <c r="R8" s="367"/>
      <c r="S8" s="367"/>
      <c r="T8" s="367"/>
    </row>
    <row r="9" spans="1:20" ht="15" thickBot="1">
      <c r="B9" s="213"/>
      <c r="C9" s="378" t="s">
        <v>180</v>
      </c>
      <c r="D9" s="360">
        <f>D7+D8</f>
        <v>0</v>
      </c>
      <c r="E9" s="360" t="str">
        <f>E7</f>
        <v>IU</v>
      </c>
      <c r="F9" s="214"/>
      <c r="H9" s="367"/>
      <c r="I9" s="367"/>
      <c r="J9" s="367"/>
      <c r="L9" s="213"/>
      <c r="M9" s="218" t="s">
        <v>6</v>
      </c>
      <c r="N9" s="368"/>
      <c r="O9" s="368"/>
      <c r="P9" s="214"/>
      <c r="R9" s="367"/>
      <c r="S9" s="367"/>
      <c r="T9" s="367"/>
    </row>
    <row r="10" spans="1:20" ht="15" thickBot="1">
      <c r="B10" s="213"/>
      <c r="C10" s="218" t="s">
        <v>6</v>
      </c>
      <c r="D10" s="829"/>
      <c r="E10" s="829"/>
      <c r="F10" s="214"/>
      <c r="H10" s="367"/>
      <c r="I10" s="367"/>
      <c r="J10" s="367"/>
      <c r="L10" s="213"/>
      <c r="M10" s="352" t="s">
        <v>181</v>
      </c>
      <c r="N10" s="369">
        <v>300000</v>
      </c>
      <c r="O10" s="370" t="s">
        <v>176</v>
      </c>
      <c r="P10" s="214"/>
    </row>
    <row r="11" spans="1:20" ht="15" thickBot="1">
      <c r="B11" s="213"/>
      <c r="C11" s="352" t="s">
        <v>181</v>
      </c>
      <c r="D11" s="369">
        <v>90000</v>
      </c>
      <c r="E11" s="370" t="s">
        <v>182</v>
      </c>
      <c r="F11" s="214"/>
      <c r="L11" s="213"/>
      <c r="M11" s="352" t="s">
        <v>183</v>
      </c>
      <c r="N11" s="370">
        <v>1000000</v>
      </c>
      <c r="O11" s="370" t="s">
        <v>178</v>
      </c>
      <c r="P11" s="214"/>
    </row>
    <row r="12" spans="1:20" ht="15" thickBot="1">
      <c r="B12" s="213"/>
      <c r="C12" s="352" t="s">
        <v>183</v>
      </c>
      <c r="D12" s="370">
        <v>300000</v>
      </c>
      <c r="E12" s="370" t="s">
        <v>178</v>
      </c>
      <c r="F12" s="214"/>
      <c r="L12" s="213"/>
      <c r="M12" s="221" t="s">
        <v>184</v>
      </c>
      <c r="N12" s="272">
        <f>N8*N9</f>
        <v>0</v>
      </c>
      <c r="O12" s="272" t="str">
        <f>O6</f>
        <v>RAE/mcg</v>
      </c>
      <c r="P12" s="214"/>
    </row>
    <row r="13" spans="1:20" ht="15" thickBot="1">
      <c r="B13" s="213"/>
      <c r="C13" s="221" t="s">
        <v>184</v>
      </c>
      <c r="D13" s="272">
        <f>D9*D10</f>
        <v>0</v>
      </c>
      <c r="E13" s="272" t="str">
        <f>E7</f>
        <v>IU</v>
      </c>
      <c r="F13" s="214"/>
      <c r="L13" s="213"/>
      <c r="M13" s="228" t="s">
        <v>13</v>
      </c>
      <c r="N13" s="371" t="e">
        <f>IF(O8="RAE/mcg",90000/N8,IF(O8="iu",1000000/N8))</f>
        <v>#DIV/0!</v>
      </c>
      <c r="O13" s="371"/>
      <c r="P13" s="214"/>
    </row>
    <row r="14" spans="1:20" ht="15" thickBot="1">
      <c r="B14" s="213"/>
      <c r="C14" s="228" t="s">
        <v>13</v>
      </c>
      <c r="D14" s="831" t="e">
        <f>IF(E9="RAE/mcg",90000/D9,IF(E9="iu",300000/D9))</f>
        <v>#DIV/0!</v>
      </c>
      <c r="E14" s="831"/>
      <c r="F14" s="214"/>
      <c r="L14" s="215"/>
      <c r="M14" s="216"/>
      <c r="N14" s="216"/>
      <c r="O14" s="216"/>
      <c r="P14" s="217"/>
    </row>
    <row r="15" spans="1:20" ht="15" thickBot="1">
      <c r="B15" s="215"/>
      <c r="C15" s="216"/>
      <c r="D15" s="216"/>
      <c r="E15" s="216"/>
      <c r="F15" s="217"/>
    </row>
    <row r="16" spans="1:20" ht="15" customHeight="1"/>
    <row r="17" spans="2:16" ht="14.25" customHeight="1" thickBot="1"/>
    <row r="18" spans="2:16" ht="15" customHeight="1" thickBot="1">
      <c r="B18" s="256"/>
      <c r="C18" s="257"/>
      <c r="D18" s="257"/>
      <c r="E18" s="257"/>
      <c r="F18" s="257"/>
      <c r="G18" s="258"/>
    </row>
    <row r="19" spans="2:16" ht="15" customHeight="1" thickBot="1">
      <c r="B19" s="259"/>
      <c r="C19" s="830" t="s">
        <v>185</v>
      </c>
      <c r="D19" s="830"/>
      <c r="E19" s="830"/>
      <c r="F19" s="830"/>
      <c r="G19" s="364"/>
      <c r="M19" s="162"/>
      <c r="N19" s="162"/>
      <c r="O19" s="162"/>
    </row>
    <row r="20" spans="2:16" ht="15" customHeight="1" thickBot="1">
      <c r="B20" s="259"/>
      <c r="C20" s="372" t="s">
        <v>186</v>
      </c>
      <c r="D20" s="372" t="s">
        <v>187</v>
      </c>
      <c r="E20" s="372" t="s">
        <v>188</v>
      </c>
      <c r="F20" s="373" t="s">
        <v>189</v>
      </c>
      <c r="G20" s="214"/>
      <c r="M20" s="154"/>
      <c r="N20" s="154"/>
      <c r="O20" s="154"/>
    </row>
    <row r="21" spans="2:16" ht="15" customHeight="1" thickBot="1">
      <c r="B21" s="259"/>
      <c r="C21" s="368"/>
      <c r="D21" s="374" t="s">
        <v>178</v>
      </c>
      <c r="E21" s="374" t="s">
        <v>176</v>
      </c>
      <c r="F21" s="375">
        <f>IF(AND(D21="RAE/mcg",E21="iu"),C21/0.3,IF(AND(D21="iu",E21="RAE/mcg"),C21*0.3))</f>
        <v>0</v>
      </c>
      <c r="G21" s="214"/>
      <c r="M21" s="50"/>
      <c r="N21" s="155"/>
      <c r="O21" s="155"/>
    </row>
    <row r="22" spans="2:16" ht="15" customHeight="1" thickBot="1">
      <c r="B22" s="259"/>
      <c r="C22" s="376" t="s">
        <v>190</v>
      </c>
      <c r="D22" s="372" t="s">
        <v>187</v>
      </c>
      <c r="E22" s="372" t="s">
        <v>187</v>
      </c>
      <c r="F22" s="377"/>
      <c r="G22" s="214"/>
      <c r="M22" s="50"/>
      <c r="N22" s="155"/>
      <c r="O22" s="155"/>
    </row>
    <row r="23" spans="2:16" ht="15" customHeight="1" thickBot="1">
      <c r="B23" s="259"/>
      <c r="C23" s="368"/>
      <c r="D23" s="374" t="s">
        <v>178</v>
      </c>
      <c r="E23" s="374" t="s">
        <v>176</v>
      </c>
      <c r="F23" s="375">
        <f>IF(AND(D23="RAE/mcg",E23="iu"),C23/0.6,IF(AND(D23="iu",E23="RAE/mcg"),C23*0.6))</f>
        <v>0</v>
      </c>
      <c r="G23" s="214"/>
      <c r="M23" s="156"/>
      <c r="N23" s="157"/>
      <c r="O23" s="155"/>
    </row>
    <row r="24" spans="2:16" ht="15" customHeight="1" thickBot="1">
      <c r="B24" s="259"/>
      <c r="C24" s="832" t="s">
        <v>191</v>
      </c>
      <c r="D24" s="832"/>
      <c r="E24" s="832"/>
      <c r="F24" s="832"/>
      <c r="G24" s="214"/>
      <c r="M24" s="50"/>
      <c r="N24" s="163"/>
      <c r="O24" s="163"/>
    </row>
    <row r="25" spans="2:16" ht="15" customHeight="1" thickBot="1">
      <c r="B25" s="259"/>
      <c r="C25" s="832" t="s">
        <v>192</v>
      </c>
      <c r="D25" s="832"/>
      <c r="E25" s="832"/>
      <c r="F25" s="832"/>
      <c r="G25" s="365"/>
      <c r="M25" s="158"/>
      <c r="N25" s="159"/>
      <c r="O25" s="160"/>
    </row>
    <row r="26" spans="2:16" ht="15.75" customHeight="1" thickBot="1">
      <c r="B26" s="262"/>
      <c r="C26" s="366"/>
      <c r="D26" s="366"/>
      <c r="E26" s="366"/>
      <c r="F26" s="263"/>
      <c r="G26" s="264"/>
      <c r="M26" s="158"/>
      <c r="N26" s="160"/>
      <c r="O26" s="160"/>
    </row>
    <row r="27" spans="2:16" ht="15" customHeight="1">
      <c r="M27" s="50"/>
      <c r="N27" s="161"/>
      <c r="O27" s="161"/>
    </row>
    <row r="28" spans="2:16" ht="15" customHeight="1" thickBot="1"/>
    <row r="29" spans="2:16" ht="71.25" customHeight="1" thickBot="1">
      <c r="B29" s="826" t="s">
        <v>193</v>
      </c>
      <c r="C29" s="827"/>
      <c r="D29" s="827"/>
      <c r="E29" s="827"/>
      <c r="F29" s="827"/>
      <c r="G29" s="827"/>
      <c r="H29" s="827"/>
      <c r="I29" s="827"/>
      <c r="J29" s="827"/>
      <c r="K29" s="827"/>
      <c r="L29" s="827"/>
      <c r="M29" s="827"/>
      <c r="N29" s="827"/>
      <c r="O29" s="827"/>
      <c r="P29" s="828"/>
    </row>
    <row r="30" spans="2:16" ht="15" customHeight="1">
      <c r="C30" s="134"/>
    </row>
    <row r="31" spans="2:16" ht="15" customHeight="1">
      <c r="C31" s="135"/>
    </row>
  </sheetData>
  <sheetProtection algorithmName="SHA-512" hashValue="prs5gB5HdX/aCZ4wautf01Wu7inLC4a6EjzajxQ0bVkUSu+Wd7yyUaCpjrWDaPholAOvCWqSyEtYhpu0mINJew==" saltValue="MLM3n4E2HRQBvbY6+TQsVg==" spinCount="100000" sheet="1" selectLockedCells="1"/>
  <dataConsolidate/>
  <mergeCells count="10">
    <mergeCell ref="R6:T7"/>
    <mergeCell ref="M4:O4"/>
    <mergeCell ref="B29:P29"/>
    <mergeCell ref="D10:E10"/>
    <mergeCell ref="C19:F19"/>
    <mergeCell ref="D14:E14"/>
    <mergeCell ref="C24:F24"/>
    <mergeCell ref="C25:F25"/>
    <mergeCell ref="H7:J8"/>
    <mergeCell ref="C4:E5"/>
  </mergeCells>
  <dataValidations count="2">
    <dataValidation type="list" allowBlank="1" showInputMessage="1" showErrorMessage="1" sqref="O21:O23 E8:E9 C2" xr:uid="{00000000-0002-0000-1600-000000000000}">
      <formula1>"iu, RAE/mcg"</formula1>
    </dataValidation>
    <dataValidation type="list" allowBlank="1" showInputMessage="1" showErrorMessage="1" sqref="O6:O8 D23:E23 D21:E21 E7" xr:uid="{2EB89FCC-CAE3-46E8-994F-1B63169D9266}">
      <formula1>"IU, RAE/mcg"</formula1>
    </dataValidation>
  </dataValidation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C5BC6-4352-4769-913B-1195568E884A}">
  <sheetPr codeName="Sheet19">
    <tabColor theme="9" tint="0.39997558519241921"/>
  </sheetPr>
  <dimension ref="B1:J23"/>
  <sheetViews>
    <sheetView zoomScale="110" zoomScaleNormal="110" workbookViewId="0">
      <selection activeCell="E21" sqref="E21"/>
    </sheetView>
  </sheetViews>
  <sheetFormatPr defaultColWidth="9" defaultRowHeight="18" customHeight="1"/>
  <cols>
    <col min="1" max="2" width="4.42578125" style="3" customWidth="1"/>
    <col min="3" max="3" width="34" style="3" bestFit="1" customWidth="1"/>
    <col min="4" max="4" width="17.7109375" style="3" customWidth="1"/>
    <col min="5" max="5" width="4.42578125" style="3" customWidth="1"/>
    <col min="6" max="6" width="9" style="3"/>
    <col min="7" max="7" width="4.42578125" style="3" customWidth="1"/>
    <col min="8" max="8" width="34" style="3" bestFit="1" customWidth="1"/>
    <col min="9" max="9" width="17.7109375" style="3" customWidth="1"/>
    <col min="10" max="10" width="4.42578125" style="3" customWidth="1"/>
    <col min="11" max="16384" width="9" style="3"/>
  </cols>
  <sheetData>
    <row r="1" spans="2:10" ht="15" customHeight="1"/>
    <row r="2" spans="2:10" ht="15" customHeight="1" thickBot="1"/>
    <row r="3" spans="2:10" ht="15" customHeight="1" thickBot="1">
      <c r="B3" s="237"/>
      <c r="C3" s="238"/>
      <c r="D3" s="238"/>
      <c r="E3" s="239"/>
      <c r="G3" s="237"/>
      <c r="H3" s="238"/>
      <c r="I3" s="238"/>
      <c r="J3" s="239"/>
    </row>
    <row r="4" spans="2:10" ht="15" customHeight="1" thickBot="1">
      <c r="B4" s="240"/>
      <c r="C4" s="695" t="s">
        <v>194</v>
      </c>
      <c r="D4" s="780"/>
      <c r="E4" s="326"/>
      <c r="G4" s="240"/>
      <c r="H4" s="695" t="s">
        <v>194</v>
      </c>
      <c r="I4" s="780"/>
      <c r="J4" s="326"/>
    </row>
    <row r="5" spans="2:10" ht="15" customHeight="1" thickBot="1">
      <c r="B5" s="240"/>
      <c r="C5" s="841" t="s">
        <v>195</v>
      </c>
      <c r="D5" s="842"/>
      <c r="E5" s="214"/>
      <c r="G5" s="240"/>
      <c r="H5" s="841" t="s">
        <v>196</v>
      </c>
      <c r="I5" s="842"/>
      <c r="J5" s="214"/>
    </row>
    <row r="6" spans="2:10" ht="15" customHeight="1" thickBot="1">
      <c r="B6" s="240"/>
      <c r="C6" s="379"/>
      <c r="D6" s="380"/>
      <c r="E6" s="326"/>
      <c r="G6" s="240"/>
      <c r="H6" s="379"/>
      <c r="I6" s="380"/>
      <c r="J6" s="326"/>
    </row>
    <row r="7" spans="2:10" ht="15" customHeight="1" thickBot="1">
      <c r="B7" s="240"/>
      <c r="C7" s="839" t="s">
        <v>197</v>
      </c>
      <c r="D7" s="840"/>
      <c r="E7" s="326"/>
      <c r="G7" s="240"/>
      <c r="H7" s="839" t="s">
        <v>197</v>
      </c>
      <c r="I7" s="840"/>
      <c r="J7" s="326"/>
    </row>
    <row r="8" spans="2:10" ht="15" customHeight="1" thickBot="1">
      <c r="B8" s="240"/>
      <c r="C8" s="277"/>
      <c r="D8" s="241"/>
      <c r="E8" s="326"/>
      <c r="G8" s="240"/>
      <c r="H8" s="277"/>
      <c r="I8" s="241"/>
      <c r="J8" s="326"/>
    </row>
    <row r="9" spans="2:10" ht="15" customHeight="1" thickBot="1">
      <c r="B9" s="240"/>
      <c r="C9" s="286" t="s">
        <v>53</v>
      </c>
      <c r="D9" s="381"/>
      <c r="E9" s="242"/>
      <c r="G9" s="240"/>
      <c r="H9" s="286" t="s">
        <v>53</v>
      </c>
      <c r="I9" s="381"/>
      <c r="J9" s="242"/>
    </row>
    <row r="10" spans="2:10" ht="15" customHeight="1" thickBot="1">
      <c r="B10" s="327"/>
      <c r="C10" s="286" t="s">
        <v>54</v>
      </c>
      <c r="D10" s="280"/>
      <c r="E10" s="242"/>
      <c r="G10" s="327"/>
      <c r="H10" s="286" t="s">
        <v>54</v>
      </c>
      <c r="I10" s="280"/>
      <c r="J10" s="242"/>
    </row>
    <row r="11" spans="2:10" ht="15" customHeight="1" thickBot="1">
      <c r="B11" s="240"/>
      <c r="C11" s="382" t="s">
        <v>198</v>
      </c>
      <c r="D11" s="385">
        <v>90</v>
      </c>
      <c r="E11" s="242"/>
      <c r="G11" s="240"/>
      <c r="H11" s="382" t="s">
        <v>198</v>
      </c>
      <c r="I11" s="385">
        <v>300</v>
      </c>
      <c r="J11" s="242"/>
    </row>
    <row r="12" spans="2:10" ht="15" customHeight="1" thickBot="1">
      <c r="B12" s="240"/>
      <c r="C12" s="382" t="s">
        <v>199</v>
      </c>
      <c r="D12" s="385">
        <f>D11*1000</f>
        <v>90000</v>
      </c>
      <c r="E12" s="242"/>
      <c r="G12" s="240"/>
      <c r="H12" s="382" t="s">
        <v>199</v>
      </c>
      <c r="I12" s="385">
        <f>I11*1000</f>
        <v>300000</v>
      </c>
      <c r="J12" s="242"/>
    </row>
    <row r="13" spans="2:10" ht="15" customHeight="1" thickBot="1">
      <c r="B13" s="240"/>
      <c r="C13" s="383"/>
      <c r="D13" s="384"/>
      <c r="E13" s="242"/>
      <c r="G13" s="240"/>
      <c r="H13" s="383"/>
      <c r="I13" s="384"/>
      <c r="J13" s="242"/>
    </row>
    <row r="14" spans="2:10" ht="15" customHeight="1" thickBot="1">
      <c r="B14" s="240"/>
      <c r="C14" s="286" t="s">
        <v>200</v>
      </c>
      <c r="D14" s="311">
        <f>D9/100*1000*1000</f>
        <v>0</v>
      </c>
      <c r="E14" s="214"/>
      <c r="G14" s="240"/>
      <c r="H14" s="286" t="s">
        <v>200</v>
      </c>
      <c r="I14" s="311">
        <f>I9/100*1000*1000</f>
        <v>0</v>
      </c>
      <c r="J14" s="214"/>
    </row>
    <row r="15" spans="2:10" ht="15" customHeight="1" thickBot="1">
      <c r="B15" s="240"/>
      <c r="C15" s="289" t="s">
        <v>201</v>
      </c>
      <c r="D15" s="317">
        <f>D14*D10</f>
        <v>0</v>
      </c>
      <c r="E15" s="214"/>
      <c r="G15" s="240"/>
      <c r="H15" s="289" t="s">
        <v>201</v>
      </c>
      <c r="I15" s="317">
        <f>I14*I10</f>
        <v>0</v>
      </c>
      <c r="J15" s="214"/>
    </row>
    <row r="16" spans="2:10" ht="15" customHeight="1" thickBot="1">
      <c r="B16" s="240"/>
      <c r="C16" s="291" t="s">
        <v>60</v>
      </c>
      <c r="D16" s="318" t="e">
        <f>D12/D14</f>
        <v>#DIV/0!</v>
      </c>
      <c r="E16" s="242"/>
      <c r="G16" s="240"/>
      <c r="H16" s="291" t="s">
        <v>60</v>
      </c>
      <c r="I16" s="318" t="e">
        <f>I12/I14</f>
        <v>#DIV/0!</v>
      </c>
      <c r="J16" s="242"/>
    </row>
    <row r="17" spans="2:10" ht="15" customHeight="1" thickBot="1">
      <c r="B17" s="246"/>
      <c r="C17" s="247"/>
      <c r="D17" s="247"/>
      <c r="E17" s="248"/>
      <c r="G17" s="246"/>
      <c r="H17" s="247"/>
      <c r="I17" s="247"/>
      <c r="J17" s="248"/>
    </row>
    <row r="18" spans="2:10" ht="18" customHeight="1">
      <c r="C18" s="2"/>
      <c r="D18" s="50"/>
      <c r="E18" s="49"/>
    </row>
    <row r="19" spans="2:10" ht="18" customHeight="1">
      <c r="C19" s="2"/>
      <c r="D19" s="50"/>
      <c r="E19" s="52"/>
    </row>
    <row r="20" spans="2:10" ht="18" customHeight="1">
      <c r="C20" s="2"/>
      <c r="D20" s="50"/>
      <c r="E20" s="52"/>
    </row>
    <row r="21" spans="2:10" ht="18" customHeight="1">
      <c r="C21" s="2"/>
      <c r="D21" s="53"/>
      <c r="E21" s="52"/>
    </row>
    <row r="22" spans="2:10" ht="18" customHeight="1">
      <c r="C22" s="2"/>
      <c r="D22" s="23"/>
      <c r="E22" s="54"/>
    </row>
    <row r="23" spans="2:10" ht="18" customHeight="1">
      <c r="C23" s="2"/>
      <c r="D23" s="2"/>
      <c r="E23" s="2"/>
    </row>
  </sheetData>
  <sheetProtection algorithmName="SHA-512" hashValue="aE9saZwoa+CvXNbXfDHR64kHSjmDya6f47laMHOxt16n+BUTlhebTEOlFyzFV4rL1adIVMekDdf06m6a8MimxA==" saltValue="CN9vCZJRi3LRpGU+c9mg+A==" spinCount="100000" sheet="1" objects="1" scenarios="1"/>
  <mergeCells count="6">
    <mergeCell ref="C7:D7"/>
    <mergeCell ref="C4:D4"/>
    <mergeCell ref="H4:I4"/>
    <mergeCell ref="H7:I7"/>
    <mergeCell ref="C5:D5"/>
    <mergeCell ref="H5:I5"/>
  </mergeCells>
  <conditionalFormatting sqref="E21">
    <cfRule type="cellIs" dxfId="20" priority="1" operator="greaterThanOrEqual">
      <formula>200</formula>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theme="9" tint="0.39997558519241921"/>
  </sheetPr>
  <dimension ref="B1:R40"/>
  <sheetViews>
    <sheetView zoomScale="110" zoomScaleNormal="110" workbookViewId="0">
      <selection activeCell="I7" sqref="I7:L7"/>
    </sheetView>
  </sheetViews>
  <sheetFormatPr defaultColWidth="9" defaultRowHeight="14.25" customHeight="1"/>
  <cols>
    <col min="1" max="2" width="4.42578125" style="2" customWidth="1"/>
    <col min="3" max="3" width="36" style="2" bestFit="1" customWidth="1"/>
    <col min="4" max="4" width="13.42578125" style="2" customWidth="1"/>
    <col min="5" max="5" width="7.7109375" style="2" customWidth="1"/>
    <col min="6" max="6" width="4.42578125" style="2" customWidth="1"/>
    <col min="7" max="7" width="9.5703125" style="2" bestFit="1" customWidth="1"/>
    <col min="8" max="8" width="4.42578125" style="2" customWidth="1"/>
    <col min="9" max="9" width="17.85546875" style="2" bestFit="1" customWidth="1"/>
    <col min="10" max="10" width="11.28515625" style="2" bestFit="1" customWidth="1"/>
    <col min="11" max="11" width="12" style="2" bestFit="1" customWidth="1"/>
    <col min="12" max="12" width="10.85546875" style="2" bestFit="1" customWidth="1"/>
    <col min="13" max="14" width="4.42578125" style="2" customWidth="1"/>
    <col min="15" max="16384" width="9" style="2"/>
  </cols>
  <sheetData>
    <row r="1" spans="2:18" ht="15" customHeight="1"/>
    <row r="2" spans="2:18" ht="15" customHeight="1" thickBot="1"/>
    <row r="3" spans="2:18" ht="15" customHeight="1" thickBot="1">
      <c r="B3" s="210"/>
      <c r="C3" s="211"/>
      <c r="D3" s="211"/>
      <c r="E3" s="211"/>
      <c r="F3" s="212"/>
      <c r="H3" s="256"/>
      <c r="I3" s="257"/>
      <c r="J3" s="257"/>
      <c r="K3" s="257"/>
      <c r="L3" s="257"/>
      <c r="M3" s="258"/>
      <c r="N3"/>
    </row>
    <row r="4" spans="2:18" ht="15" customHeight="1" thickBot="1">
      <c r="B4" s="213"/>
      <c r="C4" s="861" t="s">
        <v>202</v>
      </c>
      <c r="D4" s="862"/>
      <c r="E4" s="863"/>
      <c r="F4" s="214"/>
      <c r="H4" s="259"/>
      <c r="I4" s="787" t="s">
        <v>203</v>
      </c>
      <c r="J4" s="851"/>
      <c r="K4" s="851"/>
      <c r="L4" s="788"/>
      <c r="M4" s="364"/>
      <c r="N4"/>
    </row>
    <row r="5" spans="2:18" ht="15" customHeight="1" thickBot="1">
      <c r="B5" s="213"/>
      <c r="C5" s="319"/>
      <c r="D5" s="319"/>
      <c r="E5" s="319"/>
      <c r="F5" s="214"/>
      <c r="H5" s="259"/>
      <c r="I5" s="386" t="s">
        <v>204</v>
      </c>
      <c r="J5" s="386" t="s">
        <v>187</v>
      </c>
      <c r="K5" s="386" t="s">
        <v>188</v>
      </c>
      <c r="L5" s="387" t="s">
        <v>189</v>
      </c>
      <c r="M5" s="214"/>
      <c r="N5"/>
    </row>
    <row r="6" spans="2:18" ht="15" customHeight="1" thickBot="1">
      <c r="B6" s="213"/>
      <c r="C6" s="218" t="s">
        <v>205</v>
      </c>
      <c r="D6" s="220"/>
      <c r="E6" s="389" t="s">
        <v>178</v>
      </c>
      <c r="F6" s="214"/>
      <c r="H6" s="259"/>
      <c r="I6" s="368"/>
      <c r="J6" s="390" t="s">
        <v>178</v>
      </c>
      <c r="K6" s="390" t="s">
        <v>206</v>
      </c>
      <c r="L6" s="388">
        <f>IF(AND(J6="mcg",K6="iu"),I6*40,IF(AND(J6="iu",K6="mcg"),I6/40))</f>
        <v>0</v>
      </c>
      <c r="M6" s="214"/>
      <c r="N6"/>
      <c r="O6" s="843" t="s">
        <v>207</v>
      </c>
      <c r="P6" s="844"/>
      <c r="Q6" s="844"/>
      <c r="R6" s="845"/>
    </row>
    <row r="7" spans="2:18" ht="15" customHeight="1" thickBot="1">
      <c r="B7" s="213"/>
      <c r="C7" s="218" t="s">
        <v>6</v>
      </c>
      <c r="D7" s="829"/>
      <c r="E7" s="829"/>
      <c r="F7" s="214"/>
      <c r="H7" s="259"/>
      <c r="I7" s="852" t="s">
        <v>208</v>
      </c>
      <c r="J7" s="853"/>
      <c r="K7" s="853"/>
      <c r="L7" s="854"/>
      <c r="M7" s="365"/>
      <c r="N7"/>
    </row>
    <row r="8" spans="2:18" ht="15" customHeight="1" thickBot="1">
      <c r="B8" s="213"/>
      <c r="C8" s="352" t="s">
        <v>209</v>
      </c>
      <c r="D8" s="391">
        <v>600000</v>
      </c>
      <c r="E8" s="370" t="s">
        <v>178</v>
      </c>
      <c r="F8" s="214"/>
      <c r="H8" s="262"/>
      <c r="I8" s="366"/>
      <c r="J8" s="366"/>
      <c r="K8" s="366"/>
      <c r="L8" s="263"/>
      <c r="M8" s="264"/>
      <c r="N8"/>
      <c r="P8" s="87"/>
    </row>
    <row r="9" spans="2:18" ht="15" customHeight="1" thickBot="1">
      <c r="B9" s="213"/>
      <c r="C9" s="221" t="s">
        <v>184</v>
      </c>
      <c r="D9" s="272">
        <f>D6*D7</f>
        <v>0</v>
      </c>
      <c r="E9" s="272" t="s">
        <v>178</v>
      </c>
      <c r="F9" s="214"/>
      <c r="P9" s="87"/>
    </row>
    <row r="10" spans="2:18" ht="15" customHeight="1" thickBot="1">
      <c r="B10" s="213"/>
      <c r="C10" s="228" t="s">
        <v>13</v>
      </c>
      <c r="D10" s="846" t="e">
        <f>D8/D6</f>
        <v>#DIV/0!</v>
      </c>
      <c r="E10" s="846"/>
      <c r="F10" s="214"/>
      <c r="H10" s="256"/>
      <c r="I10" s="257"/>
      <c r="J10" s="257"/>
      <c r="K10" s="257"/>
      <c r="L10" s="257"/>
      <c r="M10" s="258"/>
    </row>
    <row r="11" spans="2:18" ht="15" customHeight="1" thickBot="1">
      <c r="B11" s="215"/>
      <c r="C11" s="216"/>
      <c r="D11" s="216"/>
      <c r="E11" s="216"/>
      <c r="F11" s="217"/>
      <c r="H11" s="259"/>
      <c r="I11" s="787" t="s">
        <v>210</v>
      </c>
      <c r="J11" s="851"/>
      <c r="K11" s="851"/>
      <c r="L11" s="788"/>
      <c r="M11" s="364"/>
    </row>
    <row r="12" spans="2:18" ht="15" customHeight="1" thickBot="1">
      <c r="H12" s="259"/>
      <c r="I12" s="855" t="s">
        <v>211</v>
      </c>
      <c r="J12" s="856"/>
      <c r="K12" s="855" t="s">
        <v>212</v>
      </c>
      <c r="L12" s="856"/>
      <c r="M12" s="214"/>
    </row>
    <row r="13" spans="2:18" ht="15" customHeight="1" thickBot="1">
      <c r="H13" s="259"/>
      <c r="I13" s="857"/>
      <c r="J13" s="858"/>
      <c r="K13" s="859">
        <f>I13/1000</f>
        <v>0</v>
      </c>
      <c r="L13" s="860"/>
      <c r="M13" s="214"/>
    </row>
    <row r="14" spans="2:18" ht="15" customHeight="1" thickBot="1">
      <c r="B14" s="210"/>
      <c r="C14" s="211"/>
      <c r="D14" s="211"/>
      <c r="E14" s="211"/>
      <c r="F14" s="212"/>
      <c r="H14" s="262"/>
      <c r="I14" s="366"/>
      <c r="J14" s="366"/>
      <c r="K14" s="366"/>
      <c r="L14" s="263"/>
      <c r="M14" s="264"/>
    </row>
    <row r="15" spans="2:18" ht="15" customHeight="1" thickBot="1">
      <c r="B15" s="213"/>
      <c r="C15" s="861" t="s">
        <v>213</v>
      </c>
      <c r="D15" s="862"/>
      <c r="E15" s="863"/>
      <c r="F15" s="214"/>
    </row>
    <row r="16" spans="2:18" ht="15" customHeight="1" thickBot="1">
      <c r="B16" s="213"/>
      <c r="C16" s="319"/>
      <c r="D16" s="319"/>
      <c r="E16" s="319"/>
      <c r="F16" s="214"/>
      <c r="H16" s="848" t="s">
        <v>214</v>
      </c>
      <c r="I16" s="849"/>
      <c r="J16" s="849"/>
      <c r="K16" s="849"/>
      <c r="L16" s="849"/>
      <c r="M16" s="850"/>
    </row>
    <row r="17" spans="2:13" ht="15" customHeight="1" thickBot="1">
      <c r="B17" s="213"/>
      <c r="C17" s="218" t="s">
        <v>215</v>
      </c>
      <c r="D17" s="220"/>
      <c r="E17" s="389" t="s">
        <v>178</v>
      </c>
      <c r="F17" s="214"/>
      <c r="H17" s="765"/>
      <c r="I17" s="766"/>
      <c r="J17" s="766"/>
      <c r="K17" s="766"/>
      <c r="L17" s="766"/>
      <c r="M17" s="767"/>
    </row>
    <row r="18" spans="2:13" ht="15" customHeight="1" thickBot="1">
      <c r="B18" s="213"/>
      <c r="C18" s="218" t="s">
        <v>216</v>
      </c>
      <c r="D18" s="864"/>
      <c r="E18" s="864"/>
      <c r="F18" s="214"/>
      <c r="H18" s="765"/>
      <c r="I18" s="766"/>
      <c r="J18" s="766"/>
      <c r="K18" s="766"/>
      <c r="L18" s="766"/>
      <c r="M18" s="767"/>
    </row>
    <row r="19" spans="2:13" ht="15" customHeight="1" thickBot="1">
      <c r="B19" s="213"/>
      <c r="C19" s="218" t="s">
        <v>217</v>
      </c>
      <c r="D19" s="865"/>
      <c r="E19" s="865"/>
      <c r="F19" s="214"/>
      <c r="H19" s="765"/>
      <c r="I19" s="766"/>
      <c r="J19" s="766"/>
      <c r="K19" s="766"/>
      <c r="L19" s="766"/>
      <c r="M19" s="767"/>
    </row>
    <row r="20" spans="2:13" ht="15" customHeight="1" thickBot="1">
      <c r="B20" s="213"/>
      <c r="C20" s="218" t="s">
        <v>218</v>
      </c>
      <c r="D20" s="847" t="e">
        <f>D17*D18/D19</f>
        <v>#DIV/0!</v>
      </c>
      <c r="E20" s="847"/>
      <c r="F20" s="214"/>
      <c r="H20" s="765"/>
      <c r="I20" s="766"/>
      <c r="J20" s="766"/>
      <c r="K20" s="766"/>
      <c r="L20" s="766"/>
      <c r="M20" s="767"/>
    </row>
    <row r="21" spans="2:13" ht="15" customHeight="1" thickBot="1">
      <c r="B21" s="213"/>
      <c r="C21" s="218" t="s">
        <v>51</v>
      </c>
      <c r="D21" s="829"/>
      <c r="E21" s="829"/>
      <c r="F21" s="214"/>
      <c r="H21" s="765"/>
      <c r="I21" s="766"/>
      <c r="J21" s="766"/>
      <c r="K21" s="766"/>
      <c r="L21" s="766"/>
      <c r="M21" s="767"/>
    </row>
    <row r="22" spans="2:13" ht="15" customHeight="1" thickBot="1">
      <c r="B22" s="213"/>
      <c r="C22" s="352" t="s">
        <v>183</v>
      </c>
      <c r="D22" s="391">
        <v>600000</v>
      </c>
      <c r="E22" s="370" t="s">
        <v>178</v>
      </c>
      <c r="F22" s="214"/>
      <c r="H22" s="765"/>
      <c r="I22" s="766"/>
      <c r="J22" s="766"/>
      <c r="K22" s="766"/>
      <c r="L22" s="766"/>
      <c r="M22" s="767"/>
    </row>
    <row r="23" spans="2:13" ht="15" customHeight="1" thickBot="1">
      <c r="B23" s="213"/>
      <c r="C23" s="221" t="s">
        <v>184</v>
      </c>
      <c r="D23" s="222" t="e">
        <f>SUM(D17*D18/D19)*D21</f>
        <v>#DIV/0!</v>
      </c>
      <c r="E23" s="272" t="s">
        <v>178</v>
      </c>
      <c r="F23" s="214"/>
      <c r="H23" s="765"/>
      <c r="I23" s="766"/>
      <c r="J23" s="766"/>
      <c r="K23" s="766"/>
      <c r="L23" s="766"/>
      <c r="M23" s="767"/>
    </row>
    <row r="24" spans="2:13" ht="15" customHeight="1" thickBot="1">
      <c r="B24" s="213"/>
      <c r="C24" s="228" t="s">
        <v>14</v>
      </c>
      <c r="D24" s="846" t="e">
        <f>D22/D20</f>
        <v>#DIV/0!</v>
      </c>
      <c r="E24" s="846"/>
      <c r="F24" s="214"/>
      <c r="H24" s="765"/>
      <c r="I24" s="766"/>
      <c r="J24" s="766"/>
      <c r="K24" s="766"/>
      <c r="L24" s="766"/>
      <c r="M24" s="767"/>
    </row>
    <row r="25" spans="2:13" ht="15" customHeight="1" thickBot="1">
      <c r="B25" s="215"/>
      <c r="C25" s="216"/>
      <c r="D25" s="216"/>
      <c r="E25" s="216"/>
      <c r="F25" s="217"/>
      <c r="H25" s="768"/>
      <c r="I25" s="769"/>
      <c r="J25" s="769"/>
      <c r="K25" s="769"/>
      <c r="L25" s="769"/>
      <c r="M25" s="770"/>
    </row>
    <row r="26" spans="2:13" ht="15" customHeight="1"/>
    <row r="27" spans="2:13" ht="15" customHeight="1">
      <c r="I27" s="401"/>
    </row>
    <row r="28" spans="2:13" ht="15" customHeight="1">
      <c r="I28" s="402"/>
    </row>
    <row r="29" spans="2:13" ht="15" customHeight="1">
      <c r="I29" s="401"/>
    </row>
    <row r="30" spans="2:13" ht="15" customHeight="1"/>
    <row r="31" spans="2:13" ht="15" customHeight="1"/>
    <row r="32" spans="2:13" ht="15" customHeight="1"/>
    <row r="33" spans="10:14" ht="15" customHeight="1">
      <c r="J33" s="87"/>
      <c r="K33" s="87"/>
      <c r="L33" s="87"/>
      <c r="M33" s="87"/>
      <c r="N33" s="87"/>
    </row>
    <row r="34" spans="10:14" ht="15" customHeight="1">
      <c r="J34" s="87"/>
      <c r="K34" s="87"/>
      <c r="L34" s="87"/>
      <c r="M34" s="87"/>
      <c r="N34" s="87"/>
    </row>
    <row r="35" spans="10:14" ht="15" customHeight="1"/>
    <row r="36" spans="10:14" ht="15" customHeight="1"/>
    <row r="37" spans="10:14" ht="15" customHeight="1"/>
    <row r="38" spans="10:14" ht="15" customHeight="1"/>
    <row r="39" spans="10:14" ht="15" customHeight="1"/>
    <row r="40" spans="10:14" ht="15" customHeight="1"/>
  </sheetData>
  <sheetProtection algorithmName="SHA-512" hashValue="3CYXhwkwX6hvhJIDrzt4irysnBJvTqOfPQOijn5r4zrNSb7ri0sJhh6RyHeXbFCJAiQTT/1lTrmGmfoQ0C7Vow==" saltValue="xFnGfufusoYb9Tcq/+jDxg==" spinCount="100000" sheet="1" selectLockedCells="1"/>
  <mergeCells count="18">
    <mergeCell ref="C4:E4"/>
    <mergeCell ref="D7:E7"/>
    <mergeCell ref="D10:E10"/>
    <mergeCell ref="D18:E18"/>
    <mergeCell ref="D19:E19"/>
    <mergeCell ref="C15:E15"/>
    <mergeCell ref="I4:L4"/>
    <mergeCell ref="I7:L7"/>
    <mergeCell ref="I11:L11"/>
    <mergeCell ref="I12:J12"/>
    <mergeCell ref="I13:J13"/>
    <mergeCell ref="K12:L12"/>
    <mergeCell ref="K13:L13"/>
    <mergeCell ref="O6:R6"/>
    <mergeCell ref="D21:E21"/>
    <mergeCell ref="D24:E24"/>
    <mergeCell ref="D20:E20"/>
    <mergeCell ref="H16:M25"/>
  </mergeCells>
  <dataValidations count="1">
    <dataValidation type="list" allowBlank="1" showInputMessage="1" showErrorMessage="1" sqref="J6:K6" xr:uid="{00000000-0002-0000-1700-000000000000}">
      <formula1>"mcg, IU"</formula1>
    </dataValidation>
  </dataValidation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theme="9" tint="0.39997558519241921"/>
  </sheetPr>
  <dimension ref="B1:K28"/>
  <sheetViews>
    <sheetView topLeftCell="A4" zoomScale="115" zoomScaleNormal="115" workbookViewId="0">
      <selection activeCell="D6" sqref="D6"/>
    </sheetView>
  </sheetViews>
  <sheetFormatPr defaultColWidth="9" defaultRowHeight="18.2" customHeight="1"/>
  <cols>
    <col min="1" max="2" width="4.42578125" style="3" customWidth="1"/>
    <col min="3" max="3" width="35.42578125" style="3" bestFit="1" customWidth="1"/>
    <col min="4" max="4" width="29.42578125" style="3" customWidth="1"/>
    <col min="5" max="5" width="4.42578125" style="3" customWidth="1"/>
    <col min="6" max="6" width="3.28515625" style="3" customWidth="1"/>
    <col min="7" max="10" width="9" style="3"/>
    <col min="11" max="11" width="2.7109375" style="3" customWidth="1"/>
    <col min="12" max="16384" width="9" style="3"/>
  </cols>
  <sheetData>
    <row r="1" spans="2:11" ht="19.149999999999999" customHeight="1"/>
    <row r="2" spans="2:11" ht="15" customHeight="1" thickBot="1"/>
    <row r="3" spans="2:11" ht="15" customHeight="1" thickBot="1">
      <c r="B3" s="237"/>
      <c r="C3" s="211"/>
      <c r="D3" s="211"/>
      <c r="E3" s="212"/>
    </row>
    <row r="4" spans="2:11" ht="15" customHeight="1" thickBot="1">
      <c r="B4" s="240"/>
      <c r="C4" s="779" t="s">
        <v>219</v>
      </c>
      <c r="D4" s="780"/>
      <c r="E4" s="326"/>
    </row>
    <row r="5" spans="2:11" ht="15" customHeight="1" thickBot="1">
      <c r="B5" s="240"/>
      <c r="C5" s="277"/>
      <c r="D5" s="241"/>
      <c r="E5" s="326"/>
    </row>
    <row r="6" spans="2:11" ht="15" customHeight="1" thickBot="1">
      <c r="B6" s="240"/>
      <c r="C6" s="218" t="s">
        <v>2</v>
      </c>
      <c r="D6" s="306"/>
      <c r="E6" s="242"/>
    </row>
    <row r="7" spans="2:11" ht="15" customHeight="1" thickBot="1">
      <c r="B7" s="240"/>
      <c r="C7" s="279" t="s">
        <v>53</v>
      </c>
      <c r="D7" s="351"/>
      <c r="E7" s="242"/>
    </row>
    <row r="8" spans="2:11" ht="15" customHeight="1" thickBot="1">
      <c r="B8" s="327"/>
      <c r="C8" s="279" t="s">
        <v>54</v>
      </c>
      <c r="D8" s="280"/>
      <c r="E8" s="242"/>
    </row>
    <row r="9" spans="2:11" ht="15" customHeight="1" thickBot="1">
      <c r="B9" s="240"/>
      <c r="C9" s="352" t="s">
        <v>9</v>
      </c>
      <c r="D9" s="392"/>
      <c r="E9" s="242"/>
    </row>
    <row r="10" spans="2:11" ht="15" customHeight="1" thickBot="1">
      <c r="B10" s="240"/>
      <c r="C10" s="394"/>
      <c r="D10" s="384"/>
      <c r="E10" s="242"/>
    </row>
    <row r="11" spans="2:11" ht="15" customHeight="1" thickBot="1">
      <c r="B11" s="240"/>
      <c r="C11" s="218" t="s">
        <v>10</v>
      </c>
      <c r="D11" s="311">
        <f>D9*D6</f>
        <v>0</v>
      </c>
      <c r="E11" s="242"/>
    </row>
    <row r="12" spans="2:11" ht="15" customHeight="1" thickBot="1">
      <c r="B12" s="240"/>
      <c r="C12" s="286" t="s">
        <v>220</v>
      </c>
      <c r="D12" s="311">
        <f>D7/100*1000</f>
        <v>0</v>
      </c>
      <c r="E12" s="214"/>
      <c r="G12" s="868" t="s">
        <v>68</v>
      </c>
      <c r="H12" s="869"/>
      <c r="I12" s="869"/>
      <c r="J12" s="869"/>
      <c r="K12" s="870"/>
    </row>
    <row r="13" spans="2:11" ht="15" customHeight="1" thickBot="1">
      <c r="B13" s="240"/>
      <c r="C13" s="287" t="s">
        <v>69</v>
      </c>
      <c r="D13" s="315">
        <f>D12*D8</f>
        <v>0</v>
      </c>
      <c r="E13" s="214"/>
    </row>
    <row r="14" spans="2:11" ht="15" customHeight="1" thickBot="1">
      <c r="B14" s="240"/>
      <c r="C14" s="289" t="s">
        <v>59</v>
      </c>
      <c r="D14" s="317" t="e">
        <f>D13/D6</f>
        <v>#DIV/0!</v>
      </c>
      <c r="E14" s="242"/>
    </row>
    <row r="15" spans="2:11" ht="15" customHeight="1" thickBot="1">
      <c r="B15" s="240"/>
      <c r="C15" s="291" t="s">
        <v>60</v>
      </c>
      <c r="D15" s="318" t="e">
        <f>D11/D12</f>
        <v>#DIV/0!</v>
      </c>
      <c r="E15" s="242"/>
    </row>
    <row r="16" spans="2:11" ht="18.2" customHeight="1" thickBot="1">
      <c r="B16" s="240"/>
      <c r="C16" s="241"/>
      <c r="D16" s="241"/>
      <c r="E16" s="242"/>
    </row>
    <row r="17" spans="2:5" ht="48.95" customHeight="1" thickBot="1">
      <c r="B17" s="240"/>
      <c r="C17" s="826" t="s">
        <v>221</v>
      </c>
      <c r="D17" s="828"/>
      <c r="E17" s="393"/>
    </row>
    <row r="18" spans="2:5" ht="18.2" customHeight="1" thickBot="1">
      <c r="B18" s="240"/>
      <c r="C18" s="9"/>
      <c r="D18" s="866"/>
      <c r="E18" s="867"/>
    </row>
    <row r="19" spans="2:5" ht="15" customHeight="1">
      <c r="B19" s="240"/>
      <c r="C19" s="871" t="s">
        <v>222</v>
      </c>
      <c r="D19" s="872"/>
      <c r="E19" s="326"/>
    </row>
    <row r="20" spans="2:5" ht="18.2" customHeight="1">
      <c r="B20" s="240"/>
      <c r="C20" s="873"/>
      <c r="D20" s="874"/>
      <c r="E20" s="395"/>
    </row>
    <row r="21" spans="2:5" ht="18.2" customHeight="1" thickBot="1">
      <c r="B21" s="327"/>
      <c r="C21" s="875"/>
      <c r="D21" s="876"/>
      <c r="E21" s="396"/>
    </row>
    <row r="22" spans="2:5" ht="18.2" customHeight="1" thickBot="1">
      <c r="B22" s="293"/>
      <c r="C22" s="397"/>
      <c r="D22" s="398"/>
      <c r="E22" s="399"/>
    </row>
    <row r="23" spans="2:5" ht="18.2" customHeight="1">
      <c r="C23" s="2"/>
      <c r="D23" s="50"/>
      <c r="E23" s="51"/>
    </row>
    <row r="24" spans="2:5" ht="18.2" customHeight="1">
      <c r="C24" s="2"/>
      <c r="D24" s="50"/>
      <c r="E24" s="52"/>
    </row>
    <row r="25" spans="2:5" ht="18.2" customHeight="1">
      <c r="C25" s="2"/>
      <c r="D25" s="50"/>
      <c r="E25" s="52"/>
    </row>
    <row r="26" spans="2:5" ht="18.2" customHeight="1">
      <c r="C26" s="2"/>
      <c r="D26" s="53"/>
      <c r="E26" s="52"/>
    </row>
    <row r="27" spans="2:5" ht="18.2" customHeight="1">
      <c r="C27" s="2"/>
      <c r="D27" s="23"/>
      <c r="E27" s="54"/>
    </row>
    <row r="28" spans="2:5" ht="18.2" customHeight="1">
      <c r="C28" s="2"/>
      <c r="D28" s="2"/>
      <c r="E28" s="2"/>
    </row>
  </sheetData>
  <sheetProtection algorithmName="SHA-512" hashValue="LbFt+8mI0qOuryNLjsbx2VOtLJ1/FPoBarZPZmlP7GvyA8CXwPjBwTA8I3cZeEdalFflHh7VZu6rIL6NaCwQhA==" saltValue="/azRBERI+Z3rh21kwra+zQ==" spinCount="100000" sheet="1" selectLockedCells="1"/>
  <mergeCells count="5">
    <mergeCell ref="D18:E18"/>
    <mergeCell ref="C4:D4"/>
    <mergeCell ref="C17:D17"/>
    <mergeCell ref="G12:K12"/>
    <mergeCell ref="C19:D21"/>
  </mergeCells>
  <conditionalFormatting sqref="E26">
    <cfRule type="cellIs" dxfId="19" priority="3" operator="greaterThanOrEqual">
      <formula>200</formula>
    </cfRule>
  </conditionalFormatting>
  <pageMargins left="0.7" right="0.7" top="0.75" bottom="0.75" header="0.3" footer="0.3"/>
  <pageSetup orientation="portrait" r:id="rId1"/>
  <ignoredErrors>
    <ignoredError sqref="D12" 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theme="9" tint="0.39997558519241921"/>
  </sheetPr>
  <dimension ref="B1:K18"/>
  <sheetViews>
    <sheetView zoomScale="115" zoomScaleNormal="115" workbookViewId="0">
      <selection activeCell="D6" sqref="D6"/>
    </sheetView>
  </sheetViews>
  <sheetFormatPr defaultColWidth="9" defaultRowHeight="18.2" customHeight="1"/>
  <cols>
    <col min="1" max="2" width="4.42578125" style="3" customWidth="1"/>
    <col min="3" max="3" width="35.42578125" style="3" customWidth="1"/>
    <col min="4" max="4" width="22.42578125" style="3" customWidth="1"/>
    <col min="5" max="6" width="4.42578125" style="3" customWidth="1"/>
    <col min="7" max="16384" width="9" style="3"/>
  </cols>
  <sheetData>
    <row r="1" spans="2:11" ht="19.149999999999999" customHeight="1"/>
    <row r="2" spans="2:11" ht="15" customHeight="1" thickBot="1"/>
    <row r="3" spans="2:11" ht="15" customHeight="1" thickBot="1">
      <c r="B3" s="237"/>
      <c r="C3" s="211"/>
      <c r="D3" s="211"/>
      <c r="E3" s="212"/>
    </row>
    <row r="4" spans="2:11" ht="15" customHeight="1" thickBot="1">
      <c r="B4" s="240"/>
      <c r="C4" s="779" t="s">
        <v>223</v>
      </c>
      <c r="D4" s="780"/>
      <c r="E4" s="214"/>
    </row>
    <row r="5" spans="2:11" ht="15" customHeight="1" thickBot="1">
      <c r="B5" s="240"/>
      <c r="C5" s="241"/>
      <c r="D5" s="241"/>
      <c r="E5" s="356"/>
    </row>
    <row r="6" spans="2:11" ht="15" customHeight="1" thickBot="1">
      <c r="B6" s="240"/>
      <c r="C6" s="304" t="s">
        <v>2</v>
      </c>
      <c r="D6" s="278"/>
      <c r="E6" s="393"/>
    </row>
    <row r="7" spans="2:11" ht="15" customHeight="1" thickBot="1">
      <c r="B7" s="240"/>
      <c r="C7" s="307" t="s">
        <v>53</v>
      </c>
      <c r="D7" s="351"/>
      <c r="E7" s="393"/>
    </row>
    <row r="8" spans="2:11" ht="15" customHeight="1" thickBot="1">
      <c r="B8" s="240"/>
      <c r="C8" s="307" t="s">
        <v>54</v>
      </c>
      <c r="D8" s="280"/>
      <c r="E8" s="393"/>
    </row>
    <row r="9" spans="2:11" ht="15" customHeight="1" thickBot="1">
      <c r="B9" s="240"/>
      <c r="C9" s="403" t="s">
        <v>95</v>
      </c>
      <c r="D9" s="404"/>
      <c r="E9" s="326"/>
    </row>
    <row r="10" spans="2:11" ht="15" customHeight="1" thickBot="1">
      <c r="B10" s="240"/>
      <c r="C10" s="405"/>
      <c r="D10" s="406"/>
      <c r="E10" s="326"/>
    </row>
    <row r="11" spans="2:11" ht="15" customHeight="1" thickBot="1">
      <c r="B11" s="327"/>
      <c r="C11" s="407" t="s">
        <v>97</v>
      </c>
      <c r="D11" s="311">
        <f>D9*D6</f>
        <v>0</v>
      </c>
      <c r="E11" s="393"/>
    </row>
    <row r="12" spans="2:11" ht="15" customHeight="1" thickBot="1">
      <c r="B12" s="240"/>
      <c r="C12" s="312" t="s">
        <v>169</v>
      </c>
      <c r="D12" s="311">
        <f>D7/100</f>
        <v>0</v>
      </c>
      <c r="E12" s="242"/>
      <c r="G12" s="868" t="s">
        <v>170</v>
      </c>
      <c r="H12" s="869"/>
      <c r="I12" s="869"/>
      <c r="J12" s="870"/>
      <c r="K12" s="408"/>
    </row>
    <row r="13" spans="2:11" ht="15" customHeight="1" thickBot="1">
      <c r="B13" s="240"/>
      <c r="C13" s="314" t="s">
        <v>171</v>
      </c>
      <c r="D13" s="315">
        <f>D12*D8</f>
        <v>0</v>
      </c>
      <c r="E13" s="242"/>
    </row>
    <row r="14" spans="2:11" ht="15" customHeight="1" thickBot="1">
      <c r="B14" s="327"/>
      <c r="C14" s="316" t="s">
        <v>172</v>
      </c>
      <c r="D14" s="317" t="e">
        <f>D13/D6</f>
        <v>#DIV/0!</v>
      </c>
      <c r="E14" s="242"/>
    </row>
    <row r="15" spans="2:11" ht="15" customHeight="1" thickBot="1">
      <c r="B15" s="240"/>
      <c r="C15" s="291" t="s">
        <v>60</v>
      </c>
      <c r="D15" s="318" t="e">
        <f>D11/D12</f>
        <v>#DIV/0!</v>
      </c>
      <c r="E15" s="242"/>
    </row>
    <row r="16" spans="2:11" ht="15" customHeight="1" thickBot="1">
      <c r="B16" s="240"/>
      <c r="C16" s="241"/>
      <c r="D16" s="241"/>
      <c r="E16" s="242"/>
    </row>
    <row r="17" spans="2:5" ht="62.1" customHeight="1" thickBot="1">
      <c r="B17" s="240"/>
      <c r="C17" s="826" t="s">
        <v>224</v>
      </c>
      <c r="D17" s="828"/>
      <c r="E17" s="214"/>
    </row>
    <row r="18" spans="2:5" ht="15" customHeight="1" thickBot="1">
      <c r="B18" s="246"/>
      <c r="C18" s="247"/>
      <c r="D18" s="247"/>
      <c r="E18" s="217"/>
    </row>
  </sheetData>
  <sheetProtection algorithmName="SHA-512" hashValue="R2fGh17jzS7qedB+of0KMxy+qYZbsdFqq1NUsd80+G/tOQXXWctYSPwREEzSspUvgm6S7XvAYT1POLOu2NhASw==" saltValue="4hejbCWSzv0YTFPqW+O/aw==" spinCount="100000" sheet="1" selectLockedCells="1"/>
  <mergeCells count="3">
    <mergeCell ref="C4:D4"/>
    <mergeCell ref="C17:D17"/>
    <mergeCell ref="G12:J12"/>
  </mergeCells>
  <pageMargins left="0.7" right="0.7" top="0.75" bottom="0.75" header="0.3" footer="0.3"/>
  <pageSetup orientation="portrait" r:id="rId1"/>
  <ignoredErrors>
    <ignoredError sqref="D12" formula="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
    <tabColor theme="9" tint="0.39997558519241921"/>
  </sheetPr>
  <dimension ref="B1:N31"/>
  <sheetViews>
    <sheetView zoomScale="115" zoomScaleNormal="115" workbookViewId="0">
      <selection activeCell="D6" sqref="D6"/>
    </sheetView>
  </sheetViews>
  <sheetFormatPr defaultColWidth="9" defaultRowHeight="14.25" customHeight="1"/>
  <cols>
    <col min="1" max="1" width="3.42578125" style="2" customWidth="1"/>
    <col min="2" max="2" width="4.42578125" style="2" customWidth="1"/>
    <col min="3" max="3" width="36" style="2" bestFit="1" customWidth="1"/>
    <col min="4" max="4" width="10.42578125" style="2" customWidth="1"/>
    <col min="5" max="5" width="4.42578125" style="2" customWidth="1"/>
    <col min="6" max="6" width="5.5703125" style="2" customWidth="1"/>
    <col min="7" max="7" width="4.42578125" style="2" customWidth="1"/>
    <col min="8" max="8" width="36.140625" style="2" customWidth="1"/>
    <col min="9" max="9" width="10.42578125" style="2" customWidth="1"/>
    <col min="10" max="11" width="4.42578125" style="2" customWidth="1"/>
    <col min="12" max="16384" width="9" style="2"/>
  </cols>
  <sheetData>
    <row r="1" spans="2:14" ht="19.149999999999999" customHeight="1"/>
    <row r="2" spans="2:14" ht="19.149999999999999" customHeight="1" thickBot="1"/>
    <row r="3" spans="2:14" ht="15" customHeight="1" thickBot="1">
      <c r="B3" s="210"/>
      <c r="C3" s="211"/>
      <c r="D3" s="211"/>
      <c r="E3" s="212"/>
      <c r="G3" s="210"/>
      <c r="H3" s="211"/>
      <c r="I3" s="211"/>
      <c r="J3" s="212"/>
    </row>
    <row r="4" spans="2:14" ht="15" customHeight="1" thickBot="1">
      <c r="B4" s="213"/>
      <c r="C4" s="636" t="s">
        <v>225</v>
      </c>
      <c r="D4" s="637"/>
      <c r="E4" s="415"/>
      <c r="G4" s="213"/>
      <c r="H4" s="636" t="s">
        <v>226</v>
      </c>
      <c r="I4" s="637"/>
      <c r="J4" s="230"/>
    </row>
    <row r="5" spans="2:14" ht="15" customHeight="1" thickBot="1">
      <c r="B5" s="213"/>
      <c r="C5" s="9"/>
      <c r="D5" s="9"/>
      <c r="E5" s="214"/>
      <c r="G5" s="213"/>
      <c r="H5" s="9"/>
      <c r="I5" s="9"/>
      <c r="J5" s="214"/>
    </row>
    <row r="6" spans="2:14" ht="15" customHeight="1" thickBot="1">
      <c r="B6" s="213"/>
      <c r="C6" s="218" t="s">
        <v>2</v>
      </c>
      <c r="D6" s="219"/>
      <c r="E6" s="395"/>
      <c r="G6" s="213"/>
      <c r="H6" s="218" t="s">
        <v>2</v>
      </c>
      <c r="I6" s="219"/>
      <c r="J6" s="231"/>
      <c r="L6" s="877" t="s">
        <v>227</v>
      </c>
      <c r="M6" s="878"/>
      <c r="N6" s="879"/>
    </row>
    <row r="7" spans="2:14" ht="15" customHeight="1" thickBot="1">
      <c r="B7" s="213"/>
      <c r="C7" s="218" t="s">
        <v>18</v>
      </c>
      <c r="D7" s="219"/>
      <c r="E7" s="411"/>
      <c r="G7" s="213"/>
      <c r="H7" s="218" t="s">
        <v>5</v>
      </c>
      <c r="I7" s="219"/>
      <c r="J7" s="232"/>
      <c r="L7" s="880"/>
      <c r="M7" s="881"/>
      <c r="N7" s="882"/>
    </row>
    <row r="8" spans="2:14" ht="15" customHeight="1" thickBot="1">
      <c r="B8" s="213"/>
      <c r="C8" s="218" t="s">
        <v>6</v>
      </c>
      <c r="D8" s="219"/>
      <c r="E8" s="395"/>
      <c r="G8" s="213"/>
      <c r="H8" s="218" t="s">
        <v>7</v>
      </c>
      <c r="I8" s="219"/>
      <c r="J8" s="231"/>
      <c r="L8" s="883"/>
      <c r="M8" s="884"/>
      <c r="N8" s="885"/>
    </row>
    <row r="9" spans="2:14" ht="15" customHeight="1" thickBot="1">
      <c r="B9" s="213"/>
      <c r="C9" s="352" t="s">
        <v>9</v>
      </c>
      <c r="D9" s="416"/>
      <c r="E9" s="412"/>
      <c r="G9" s="213"/>
      <c r="H9" s="352" t="s">
        <v>9</v>
      </c>
      <c r="I9" s="418"/>
      <c r="J9" s="233"/>
    </row>
    <row r="10" spans="2:14" ht="15" customHeight="1" thickBot="1">
      <c r="B10" s="213"/>
      <c r="C10" s="253"/>
      <c r="D10" s="254"/>
      <c r="E10" s="412"/>
      <c r="G10" s="213"/>
      <c r="H10" s="250"/>
      <c r="I10" s="419"/>
      <c r="J10" s="233"/>
    </row>
    <row r="11" spans="2:14" ht="15" customHeight="1" thickBot="1">
      <c r="B11" s="213"/>
      <c r="C11" s="218" t="s">
        <v>10</v>
      </c>
      <c r="D11" s="417">
        <f>D6*D9</f>
        <v>0</v>
      </c>
      <c r="E11" s="413"/>
      <c r="G11" s="213"/>
      <c r="H11" s="218" t="s">
        <v>10</v>
      </c>
      <c r="I11" s="225">
        <f>I6*I9</f>
        <v>0</v>
      </c>
      <c r="J11" s="234"/>
    </row>
    <row r="12" spans="2:14" ht="15" customHeight="1" thickBot="1">
      <c r="B12" s="213"/>
      <c r="C12" s="221" t="s">
        <v>11</v>
      </c>
      <c r="D12" s="226">
        <f>D7*D8</f>
        <v>0</v>
      </c>
      <c r="E12" s="413"/>
      <c r="G12" s="213"/>
      <c r="H12" s="221" t="s">
        <v>11</v>
      </c>
      <c r="I12" s="226">
        <f>I7*I8</f>
        <v>0</v>
      </c>
      <c r="J12" s="214"/>
    </row>
    <row r="13" spans="2:14" ht="15" customHeight="1" thickBot="1">
      <c r="B13" s="213"/>
      <c r="C13" s="227" t="s">
        <v>12</v>
      </c>
      <c r="D13" s="275" t="e">
        <f>D12/D6</f>
        <v>#DIV/0!</v>
      </c>
      <c r="E13" s="413"/>
      <c r="G13" s="213"/>
      <c r="H13" s="227" t="s">
        <v>12</v>
      </c>
      <c r="I13" s="275" t="e">
        <f>I12/I6</f>
        <v>#DIV/0!</v>
      </c>
      <c r="J13" s="235"/>
    </row>
    <row r="14" spans="2:14" ht="15" customHeight="1" thickBot="1">
      <c r="B14" s="213"/>
      <c r="C14" s="228" t="s">
        <v>13</v>
      </c>
      <c r="D14" s="229" t="e">
        <f>D11/D7</f>
        <v>#DIV/0!</v>
      </c>
      <c r="E14" s="414"/>
      <c r="G14" s="213"/>
      <c r="H14" s="228" t="s">
        <v>14</v>
      </c>
      <c r="I14" s="229" t="e">
        <f>I11/I7</f>
        <v>#DIV/0!</v>
      </c>
      <c r="J14" s="236"/>
    </row>
    <row r="15" spans="2:14" ht="15" customHeight="1" thickBot="1">
      <c r="B15" s="215"/>
      <c r="C15" s="216"/>
      <c r="D15" s="216"/>
      <c r="E15" s="217"/>
      <c r="G15" s="215"/>
      <c r="H15" s="216"/>
      <c r="I15" s="216"/>
      <c r="J15" s="217"/>
    </row>
    <row r="16" spans="2:14" ht="15" customHeight="1"/>
    <row r="17" ht="19.149999999999999"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sheetData>
  <sheetProtection algorithmName="SHA-512" hashValue="u+ow1b4hAXvNh7rZb3gzvVkiTEE6O+UgNI/Z++YDFk9R60i/u2WOt/vY+m3w/yyKJmfCpkgNvMe5gysgxHv+3w==" saltValue="pQrWXv/Rf5G8LCbT1QsSiw==" spinCount="100000" sheet="1" selectLockedCells="1"/>
  <mergeCells count="3">
    <mergeCell ref="C4:D4"/>
    <mergeCell ref="H4:I4"/>
    <mergeCell ref="L6:N8"/>
  </mergeCells>
  <conditionalFormatting sqref="E13">
    <cfRule type="cellIs" dxfId="18" priority="2" operator="greaterThanOrEqual">
      <formula>200</formula>
    </cfRule>
  </conditionalFormatting>
  <conditionalFormatting sqref="J14">
    <cfRule type="cellIs" dxfId="17" priority="3" operator="greaterThanOrEqual">
      <formula>200</formula>
    </cfRule>
  </conditionalFormatting>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6">
    <tabColor theme="8" tint="-0.249977111117893"/>
  </sheetPr>
  <dimension ref="B2:J24"/>
  <sheetViews>
    <sheetView zoomScale="115" zoomScaleNormal="115" workbookViewId="0">
      <selection activeCell="D10" sqref="D10"/>
    </sheetView>
  </sheetViews>
  <sheetFormatPr defaultColWidth="9" defaultRowHeight="14.45"/>
  <cols>
    <col min="1" max="2" width="4.42578125" style="2" customWidth="1"/>
    <col min="3" max="3" width="25.42578125" style="2" customWidth="1"/>
    <col min="4" max="4" width="33.42578125" style="2" customWidth="1"/>
    <col min="5" max="5" width="4.42578125" style="2" customWidth="1"/>
    <col min="6" max="6" width="5.7109375" style="2" customWidth="1"/>
    <col min="7" max="7" width="4.42578125" style="2" customWidth="1"/>
    <col min="8" max="8" width="32.140625" style="2" customWidth="1"/>
    <col min="9" max="9" width="28.7109375" style="2" customWidth="1"/>
    <col min="10" max="10" width="4.42578125" style="2" customWidth="1"/>
    <col min="11" max="13" width="8.85546875" style="2" customWidth="1"/>
    <col min="14" max="16384" width="9" style="2"/>
  </cols>
  <sheetData>
    <row r="2" spans="2:10" ht="15" customHeight="1" thickBot="1"/>
    <row r="3" spans="2:10" ht="15" customHeight="1" thickBot="1">
      <c r="B3" s="210"/>
      <c r="C3" s="211"/>
      <c r="D3" s="211"/>
      <c r="E3" s="212"/>
      <c r="G3" s="424"/>
      <c r="H3" s="425"/>
      <c r="I3" s="425"/>
      <c r="J3" s="426"/>
    </row>
    <row r="4" spans="2:10" ht="15" customHeight="1" thickBot="1">
      <c r="B4" s="213"/>
      <c r="C4" s="894" t="s">
        <v>228</v>
      </c>
      <c r="D4" s="895"/>
      <c r="E4" s="427"/>
      <c r="F4" s="23"/>
      <c r="G4" s="213"/>
      <c r="H4" s="898" t="s">
        <v>229</v>
      </c>
      <c r="I4" s="899"/>
      <c r="J4" s="427"/>
    </row>
    <row r="5" spans="2:10" ht="15" customHeight="1">
      <c r="B5" s="213"/>
      <c r="C5" s="886" t="s">
        <v>230</v>
      </c>
      <c r="D5" s="887"/>
      <c r="E5" s="427"/>
      <c r="F5" s="23"/>
      <c r="G5" s="213"/>
      <c r="H5" s="886" t="s">
        <v>231</v>
      </c>
      <c r="I5" s="887"/>
      <c r="J5" s="427"/>
    </row>
    <row r="6" spans="2:10" ht="15" thickBot="1">
      <c r="B6" s="213"/>
      <c r="C6" s="888"/>
      <c r="D6" s="889"/>
      <c r="E6" s="214"/>
      <c r="G6" s="213"/>
      <c r="H6" s="888"/>
      <c r="I6" s="889"/>
      <c r="J6" s="214"/>
    </row>
    <row r="7" spans="2:10" ht="15" customHeight="1" thickBot="1">
      <c r="B7" s="428"/>
      <c r="C7" s="9"/>
      <c r="D7" s="9"/>
      <c r="E7" s="356"/>
      <c r="G7" s="428"/>
      <c r="H7" s="9"/>
      <c r="I7" s="9"/>
      <c r="J7" s="356"/>
    </row>
    <row r="8" spans="2:10" ht="15" customHeight="1" thickBot="1">
      <c r="B8" s="213"/>
      <c r="C8" s="896" t="s">
        <v>232</v>
      </c>
      <c r="D8" s="897"/>
      <c r="E8" s="214"/>
      <c r="G8" s="213"/>
      <c r="H8" s="890" t="s">
        <v>233</v>
      </c>
      <c r="I8" s="891"/>
      <c r="J8" s="214"/>
    </row>
    <row r="9" spans="2:10" ht="15" customHeight="1" thickBot="1">
      <c r="B9" s="213"/>
      <c r="C9" s="9"/>
      <c r="D9" s="9"/>
      <c r="E9" s="214"/>
      <c r="G9" s="213"/>
      <c r="H9" s="892"/>
      <c r="I9" s="893"/>
      <c r="J9" s="214"/>
    </row>
    <row r="10" spans="2:10" ht="15" customHeight="1" thickBot="1">
      <c r="B10" s="213"/>
      <c r="C10" s="420" t="s">
        <v>234</v>
      </c>
      <c r="D10" s="421"/>
      <c r="E10" s="214"/>
      <c r="G10" s="428"/>
      <c r="J10" s="356"/>
    </row>
    <row r="11" spans="2:10" ht="15" customHeight="1" thickBot="1">
      <c r="B11" s="213"/>
      <c r="C11" s="422" t="s">
        <v>235</v>
      </c>
      <c r="D11" s="421"/>
      <c r="E11" s="214"/>
      <c r="G11" s="213"/>
      <c r="H11" s="420" t="s">
        <v>236</v>
      </c>
      <c r="I11" s="421"/>
      <c r="J11" s="214"/>
    </row>
    <row r="12" spans="2:10" ht="15" customHeight="1" thickBot="1">
      <c r="B12" s="213"/>
      <c r="C12" s="420" t="s">
        <v>237</v>
      </c>
      <c r="D12" s="423">
        <f>D11*0.78*D10/100</f>
        <v>0</v>
      </c>
      <c r="E12" s="214"/>
      <c r="G12" s="213"/>
      <c r="H12" s="420" t="s">
        <v>237</v>
      </c>
      <c r="I12" s="423">
        <f>I11*0.8/0.5</f>
        <v>0</v>
      </c>
      <c r="J12" s="214"/>
    </row>
    <row r="13" spans="2:10" ht="15" thickBot="1">
      <c r="B13" s="215"/>
      <c r="C13" s="216"/>
      <c r="D13" s="216"/>
      <c r="E13" s="217"/>
      <c r="G13" s="215"/>
      <c r="H13" s="216"/>
      <c r="I13" s="216"/>
      <c r="J13" s="217"/>
    </row>
    <row r="14" spans="2:10">
      <c r="C14" s="5"/>
    </row>
    <row r="15" spans="2:10" ht="19.149999999999999" customHeight="1"/>
    <row r="16" spans="2:10" ht="15" customHeight="1"/>
    <row r="17" spans="6:6" ht="15" customHeight="1">
      <c r="F17" s="23"/>
    </row>
    <row r="18" spans="6:6" ht="19.5" customHeight="1">
      <c r="F18" s="23"/>
    </row>
    <row r="21" spans="6:6" ht="15" customHeight="1"/>
    <row r="22" spans="6:6" ht="15" customHeight="1"/>
    <row r="23" spans="6:6" ht="15" customHeight="1"/>
    <row r="24" spans="6:6" ht="15" customHeight="1"/>
  </sheetData>
  <sheetProtection algorithmName="SHA-512" hashValue="RVecwg9rpqnAJGsQGLJgOYTvgRyGZ0cHEmE+GjYHetCje2wu8JULt4IougVRqkVLUTn52Yc33Ikio4KyM6Lu8Q==" saltValue="wsCVjRknQwo+G5pSLMLseg==" spinCount="100000" sheet="1" selectLockedCells="1"/>
  <mergeCells count="6">
    <mergeCell ref="C5:D6"/>
    <mergeCell ref="H5:I6"/>
    <mergeCell ref="H8:I9"/>
    <mergeCell ref="C4:D4"/>
    <mergeCell ref="C8:D8"/>
    <mergeCell ref="H4:I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39997558519241921"/>
  </sheetPr>
  <dimension ref="B1:J15"/>
  <sheetViews>
    <sheetView zoomScale="110" zoomScaleNormal="110" workbookViewId="0">
      <selection activeCell="D6" sqref="D6"/>
    </sheetView>
  </sheetViews>
  <sheetFormatPr defaultColWidth="9.140625" defaultRowHeight="15" customHeight="1"/>
  <cols>
    <col min="1" max="2" width="4.42578125" style="3" customWidth="1"/>
    <col min="3" max="3" width="38.42578125" style="3" bestFit="1" customWidth="1"/>
    <col min="4" max="4" width="12.42578125" style="3" customWidth="1"/>
    <col min="5" max="5" width="4.42578125" style="3" customWidth="1"/>
    <col min="6" max="6" width="7.42578125" style="3" bestFit="1" customWidth="1"/>
    <col min="7" max="7" width="4.42578125" style="3" customWidth="1"/>
    <col min="8" max="8" width="9.42578125" style="3" customWidth="1"/>
    <col min="9" max="9" width="10.140625" style="3" customWidth="1"/>
    <col min="10" max="16384" width="9.140625" style="3"/>
  </cols>
  <sheetData>
    <row r="1" spans="2:10" ht="19.149999999999999" customHeight="1"/>
    <row r="2" spans="2:10" ht="15" customHeight="1" thickBot="1"/>
    <row r="3" spans="2:10" ht="15" customHeight="1" thickBot="1">
      <c r="B3" s="237"/>
      <c r="C3" s="238"/>
      <c r="D3" s="238"/>
      <c r="E3" s="239"/>
    </row>
    <row r="4" spans="2:10" ht="15" customHeight="1" thickBot="1">
      <c r="B4" s="240"/>
      <c r="C4" s="654" t="s">
        <v>17</v>
      </c>
      <c r="D4" s="655"/>
      <c r="E4" s="243"/>
    </row>
    <row r="5" spans="2:10" ht="15" customHeight="1" thickBot="1">
      <c r="B5" s="240"/>
      <c r="C5" s="241"/>
      <c r="D5" s="241"/>
      <c r="E5" s="242"/>
    </row>
    <row r="6" spans="2:10" ht="15" customHeight="1" thickBot="1">
      <c r="B6" s="240"/>
      <c r="C6" s="218" t="s">
        <v>2</v>
      </c>
      <c r="D6" s="219"/>
      <c r="E6" s="242"/>
    </row>
    <row r="7" spans="2:10" ht="15" customHeight="1" thickBot="1">
      <c r="B7" s="240"/>
      <c r="C7" s="218" t="s">
        <v>18</v>
      </c>
      <c r="D7" s="220"/>
      <c r="E7" s="242"/>
    </row>
    <row r="8" spans="2:10" ht="15" customHeight="1" thickBot="1">
      <c r="B8" s="240"/>
      <c r="C8" s="218" t="s">
        <v>6</v>
      </c>
      <c r="D8" s="249"/>
      <c r="E8" s="242"/>
    </row>
    <row r="9" spans="2:10" ht="15" customHeight="1" thickBot="1">
      <c r="B9" s="240"/>
      <c r="C9" s="250"/>
      <c r="D9" s="251"/>
      <c r="E9" s="242"/>
    </row>
    <row r="10" spans="2:10" ht="15" customHeight="1" thickBot="1">
      <c r="B10" s="240"/>
      <c r="C10" s="223" t="s">
        <v>9</v>
      </c>
      <c r="D10" s="224">
        <v>150</v>
      </c>
      <c r="E10" s="242"/>
      <c r="G10" s="144"/>
      <c r="H10" s="144"/>
      <c r="I10" s="144"/>
      <c r="J10" s="78"/>
    </row>
    <row r="11" spans="2:10" ht="15" customHeight="1" thickBot="1">
      <c r="B11" s="240"/>
      <c r="C11" s="218" t="s">
        <v>19</v>
      </c>
      <c r="D11" s="225">
        <f>IF(D6*D10&lt;6500, D6*D10, 6500)</f>
        <v>0</v>
      </c>
      <c r="E11" s="242"/>
      <c r="G11" s="659" t="s">
        <v>20</v>
      </c>
      <c r="H11" s="660"/>
      <c r="I11" s="367"/>
    </row>
    <row r="12" spans="2:10" ht="15" customHeight="1" thickBot="1">
      <c r="B12" s="240"/>
      <c r="C12" s="221" t="s">
        <v>11</v>
      </c>
      <c r="D12" s="226">
        <f>D7*D8</f>
        <v>0</v>
      </c>
      <c r="E12" s="244"/>
    </row>
    <row r="13" spans="2:10" ht="15" customHeight="1" thickBot="1">
      <c r="B13" s="240"/>
      <c r="C13" s="227" t="s">
        <v>12</v>
      </c>
      <c r="D13" s="225" t="e">
        <f>D12/D6</f>
        <v>#DIV/0!</v>
      </c>
      <c r="E13" s="235"/>
    </row>
    <row r="14" spans="2:10" ht="15" customHeight="1" thickBot="1">
      <c r="B14" s="240"/>
      <c r="C14" s="228" t="s">
        <v>13</v>
      </c>
      <c r="D14" s="252" t="e">
        <f>IF(D12 &lt; 6500, D11/D7, 6500/D7)</f>
        <v>#DIV/0!</v>
      </c>
      <c r="E14" s="245"/>
      <c r="F14" s="4"/>
      <c r="G14" s="656" t="s">
        <v>21</v>
      </c>
      <c r="H14" s="657"/>
      <c r="I14" s="658"/>
    </row>
    <row r="15" spans="2:10" ht="15" customHeight="1" thickBot="1">
      <c r="B15" s="246"/>
      <c r="C15" s="247"/>
      <c r="D15" s="247"/>
      <c r="E15" s="248"/>
    </row>
  </sheetData>
  <sheetProtection algorithmName="SHA-512" hashValue="xnQdE8PHh7/SohcaJdonoNzcf5T5VMuTCsVNPKJ7mx5pRVdy66vRWb08hx7k2eFH4KMk8n3ScTZAV5aFRjmOaA==" saltValue="SoOdLpFUhITDk7Ir/AZLmQ==" spinCount="100000" sheet="1" selectLockedCells="1"/>
  <mergeCells count="3">
    <mergeCell ref="C4:D4"/>
    <mergeCell ref="G14:I14"/>
    <mergeCell ref="G11:H11"/>
  </mergeCells>
  <conditionalFormatting sqref="D13">
    <cfRule type="cellIs" dxfId="30" priority="1" operator="greaterThanOrEqual">
      <formula>150</formula>
    </cfRule>
  </conditionalFormatting>
  <pageMargins left="0.7" right="0.7" top="0.75" bottom="0.75" header="0.3" footer="0.3"/>
  <pageSetup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8">
    <tabColor theme="8" tint="-0.249977111117893"/>
  </sheetPr>
  <dimension ref="B1:N39"/>
  <sheetViews>
    <sheetView zoomScaleNormal="100" workbookViewId="0">
      <selection activeCell="D6" sqref="D6"/>
    </sheetView>
  </sheetViews>
  <sheetFormatPr defaultRowHeight="19.5" customHeight="1"/>
  <cols>
    <col min="1" max="2" width="4.42578125" customWidth="1"/>
    <col min="3" max="3" width="58.140625" customWidth="1"/>
    <col min="4" max="4" width="15.7109375" customWidth="1"/>
    <col min="5" max="5" width="4.42578125" customWidth="1"/>
    <col min="6" max="6" width="8.140625" customWidth="1"/>
    <col min="7" max="7" width="4.42578125" customWidth="1"/>
    <col min="8" max="8" width="89.7109375" customWidth="1"/>
    <col min="9" max="10" width="17.28515625" customWidth="1"/>
    <col min="11" max="11" width="4.42578125" customWidth="1"/>
  </cols>
  <sheetData>
    <row r="1" spans="2:14" ht="14.45"/>
    <row r="2" spans="2:14" ht="15" customHeight="1" thickBot="1"/>
    <row r="3" spans="2:14" ht="15" thickBot="1">
      <c r="B3" s="429"/>
      <c r="C3" s="430"/>
      <c r="D3" s="430"/>
      <c r="E3" s="431"/>
      <c r="G3" s="429"/>
      <c r="H3" s="430"/>
      <c r="I3" s="430"/>
      <c r="J3" s="430"/>
      <c r="K3" s="431"/>
    </row>
    <row r="4" spans="2:14" ht="15" customHeight="1" thickBot="1">
      <c r="B4" s="432"/>
      <c r="C4" s="911" t="s">
        <v>238</v>
      </c>
      <c r="D4" s="912"/>
      <c r="E4" s="433"/>
      <c r="G4" s="469"/>
      <c r="H4" s="906" t="s">
        <v>239</v>
      </c>
      <c r="I4" s="907"/>
      <c r="J4" s="908"/>
      <c r="K4" s="470"/>
    </row>
    <row r="5" spans="2:14" s="24" customFormat="1" ht="15" customHeight="1" thickBot="1">
      <c r="B5" s="434"/>
      <c r="C5" s="435"/>
      <c r="D5" s="435"/>
      <c r="E5" s="436"/>
      <c r="G5" s="432"/>
      <c r="H5" s="260"/>
      <c r="I5" s="260"/>
      <c r="J5" s="260"/>
      <c r="K5" s="433"/>
      <c r="L5"/>
      <c r="M5"/>
      <c r="N5"/>
    </row>
    <row r="6" spans="2:14" s="24" customFormat="1" ht="15" customHeight="1" thickBot="1">
      <c r="B6" s="434"/>
      <c r="C6" s="449" t="s">
        <v>240</v>
      </c>
      <c r="D6" s="450"/>
      <c r="E6" s="436"/>
      <c r="G6" s="432"/>
      <c r="H6" s="900" t="s">
        <v>241</v>
      </c>
      <c r="I6" s="904" t="s">
        <v>242</v>
      </c>
      <c r="J6" s="902" t="s">
        <v>243</v>
      </c>
      <c r="K6" s="433"/>
      <c r="L6"/>
      <c r="M6"/>
      <c r="N6"/>
    </row>
    <row r="7" spans="2:14" s="24" customFormat="1" ht="15" customHeight="1" thickBot="1">
      <c r="B7" s="434"/>
      <c r="C7" s="448"/>
      <c r="D7" s="437"/>
      <c r="E7" s="436"/>
      <c r="G7" s="432"/>
      <c r="H7" s="901"/>
      <c r="I7" s="905"/>
      <c r="J7" s="903"/>
      <c r="K7" s="433"/>
    </row>
    <row r="8" spans="2:14" s="24" customFormat="1" ht="15" customHeight="1" thickBot="1">
      <c r="B8" s="434"/>
      <c r="C8" s="461" t="s">
        <v>244</v>
      </c>
      <c r="D8" s="444" t="s">
        <v>212</v>
      </c>
      <c r="E8" s="436"/>
      <c r="G8" s="432"/>
      <c r="H8" s="441" t="s">
        <v>245</v>
      </c>
      <c r="I8" s="462">
        <f>MIN(100,(1*D6))</f>
        <v>0</v>
      </c>
      <c r="J8" s="463">
        <f>MIN(100,(D6*2))</f>
        <v>0</v>
      </c>
      <c r="K8" s="433"/>
    </row>
    <row r="9" spans="2:14" s="24" customFormat="1" ht="15" customHeight="1" thickBot="1">
      <c r="B9" s="434"/>
      <c r="C9" s="445" t="s">
        <v>246</v>
      </c>
      <c r="D9" s="446">
        <f>D6*15</f>
        <v>0</v>
      </c>
      <c r="E9" s="436"/>
      <c r="G9" s="432"/>
      <c r="H9" s="260"/>
      <c r="I9" s="260"/>
      <c r="J9" s="260"/>
      <c r="K9" s="433"/>
    </row>
    <row r="10" spans="2:14" s="24" customFormat="1" ht="15" customHeight="1" thickBot="1">
      <c r="B10" s="434"/>
      <c r="C10" s="435"/>
      <c r="D10" s="438"/>
      <c r="E10" s="436"/>
      <c r="G10" s="432"/>
      <c r="H10" s="451" t="s">
        <v>247</v>
      </c>
      <c r="I10" s="452"/>
      <c r="J10" s="453"/>
      <c r="K10" s="433"/>
    </row>
    <row r="11" spans="2:14" s="24" customFormat="1" ht="15" customHeight="1" thickBot="1">
      <c r="B11" s="434"/>
      <c r="C11" s="461" t="s">
        <v>248</v>
      </c>
      <c r="D11" s="444" t="s">
        <v>212</v>
      </c>
      <c r="E11" s="436"/>
      <c r="G11" s="432"/>
      <c r="H11" s="454" t="s">
        <v>249</v>
      </c>
      <c r="I11" s="209"/>
      <c r="J11" s="455"/>
      <c r="K11" s="433"/>
    </row>
    <row r="12" spans="2:14" s="24" customFormat="1" ht="15" customHeight="1" thickBot="1">
      <c r="B12" s="434"/>
      <c r="C12" s="913" t="s">
        <v>250</v>
      </c>
      <c r="D12" s="914">
        <f>D6*10</f>
        <v>0</v>
      </c>
      <c r="E12" s="436"/>
      <c r="G12" s="432"/>
      <c r="H12" s="464" t="s">
        <v>251</v>
      </c>
      <c r="I12" s="456"/>
      <c r="J12" s="465"/>
      <c r="K12" s="433"/>
    </row>
    <row r="13" spans="2:14" s="24" customFormat="1" ht="15" customHeight="1" thickBot="1">
      <c r="B13" s="434"/>
      <c r="C13" s="913"/>
      <c r="D13" s="914"/>
      <c r="E13" s="436"/>
      <c r="G13" s="432"/>
      <c r="H13" s="260"/>
      <c r="I13" s="260"/>
      <c r="J13" s="260"/>
      <c r="K13" s="433"/>
    </row>
    <row r="14" spans="2:14" s="24" customFormat="1" ht="15" customHeight="1" thickBot="1">
      <c r="B14" s="434"/>
      <c r="C14" s="435"/>
      <c r="D14" s="443"/>
      <c r="E14" s="436"/>
      <c r="G14" s="432"/>
      <c r="H14" s="457" t="s">
        <v>252</v>
      </c>
      <c r="I14" s="458"/>
      <c r="J14" s="459"/>
      <c r="K14" s="433"/>
    </row>
    <row r="15" spans="2:14" s="24" customFormat="1" ht="15" customHeight="1" thickBot="1">
      <c r="B15" s="434"/>
      <c r="C15" s="461" t="s">
        <v>253</v>
      </c>
      <c r="D15" s="444" t="s">
        <v>212</v>
      </c>
      <c r="E15" s="436"/>
      <c r="G15" s="432"/>
      <c r="H15" s="466" t="s">
        <v>254</v>
      </c>
      <c r="I15" s="460"/>
      <c r="J15" s="467"/>
      <c r="K15" s="433"/>
    </row>
    <row r="16" spans="2:14" s="24" customFormat="1" ht="15" customHeight="1" thickBot="1">
      <c r="B16" s="434"/>
      <c r="C16" s="913" t="s">
        <v>255</v>
      </c>
      <c r="D16" s="914">
        <f>D6*15</f>
        <v>0</v>
      </c>
      <c r="E16" s="436"/>
      <c r="G16" s="471"/>
      <c r="H16" s="472"/>
      <c r="I16" s="472"/>
      <c r="J16" s="472"/>
      <c r="K16" s="473"/>
    </row>
    <row r="17" spans="2:5" s="24" customFormat="1" ht="15" customHeight="1" thickBot="1">
      <c r="B17" s="434"/>
      <c r="C17" s="913"/>
      <c r="D17" s="914"/>
      <c r="E17" s="436"/>
    </row>
    <row r="18" spans="2:5" s="24" customFormat="1" ht="15" customHeight="1" thickBot="1">
      <c r="B18" s="434"/>
      <c r="C18" s="435"/>
      <c r="D18" s="435"/>
      <c r="E18" s="436"/>
    </row>
    <row r="19" spans="2:5" s="24" customFormat="1" ht="15" customHeight="1" thickBot="1">
      <c r="B19" s="434"/>
      <c r="C19" s="461" t="s">
        <v>256</v>
      </c>
      <c r="D19" s="444" t="s">
        <v>212</v>
      </c>
      <c r="E19" s="436"/>
    </row>
    <row r="20" spans="2:5" s="24" customFormat="1" ht="15" customHeight="1" thickBot="1">
      <c r="B20" s="434"/>
      <c r="C20" s="447" t="s">
        <v>257</v>
      </c>
      <c r="D20" s="446">
        <f>D6*10</f>
        <v>0</v>
      </c>
      <c r="E20" s="436"/>
    </row>
    <row r="21" spans="2:5" s="24" customFormat="1" ht="15" customHeight="1" thickBot="1">
      <c r="B21" s="434"/>
      <c r="C21" s="435"/>
      <c r="D21" s="435"/>
      <c r="E21" s="436"/>
    </row>
    <row r="22" spans="2:5" s="24" customFormat="1" ht="47.25" customHeight="1" thickBot="1">
      <c r="B22" s="434"/>
      <c r="C22" s="909" t="s">
        <v>258</v>
      </c>
      <c r="D22" s="910"/>
      <c r="E22" s="436"/>
    </row>
    <row r="23" spans="2:5" s="24" customFormat="1" ht="15" customHeight="1" thickBot="1">
      <c r="B23" s="439"/>
      <c r="C23" s="442"/>
      <c r="D23" s="442"/>
      <c r="E23" s="440"/>
    </row>
    <row r="24" spans="2:5" s="24" customFormat="1" ht="15" customHeight="1"/>
    <row r="25" spans="2:5" ht="15" customHeight="1"/>
    <row r="26" spans="2:5" ht="15" customHeight="1"/>
    <row r="27" spans="2:5" ht="15" customHeight="1"/>
    <row r="28" spans="2:5" ht="14.45"/>
    <row r="29" spans="2:5" ht="15" customHeight="1"/>
    <row r="30" spans="2:5" ht="15" customHeight="1"/>
    <row r="31" spans="2:5" ht="30.2" customHeight="1"/>
    <row r="32" spans="2:5" ht="15" customHeight="1"/>
    <row r="33" ht="15" customHeight="1"/>
    <row r="34" ht="15" customHeight="1"/>
    <row r="35" ht="15" customHeight="1"/>
    <row r="36" ht="15" customHeight="1"/>
    <row r="37" ht="15" customHeight="1"/>
    <row r="38" ht="15" customHeight="1"/>
    <row r="39" ht="15" customHeight="1"/>
  </sheetData>
  <sheetProtection algorithmName="SHA-512" hashValue="fFxQUX6s1pfTeCY/xdw/XehV0b92H58TGx9tbHj8N23EL22m3Qlc20ALd8tCpC5xPxsHxerEsEESLouaB9mxCg==" saltValue="Y3U3YaAxsWS2n9Ms0JxMCg==" spinCount="100000" sheet="1" objects="1" scenarios="1"/>
  <mergeCells count="10">
    <mergeCell ref="H6:H7"/>
    <mergeCell ref="J6:J7"/>
    <mergeCell ref="I6:I7"/>
    <mergeCell ref="H4:J4"/>
    <mergeCell ref="C22:D22"/>
    <mergeCell ref="C4:D4"/>
    <mergeCell ref="C12:C13"/>
    <mergeCell ref="D12:D13"/>
    <mergeCell ref="C16:C17"/>
    <mergeCell ref="D16:D17"/>
  </mergeCells>
  <dataValidations count="1">
    <dataValidation type="decimal" allowBlank="1" showInputMessage="1" showErrorMessage="1" sqref="J8" xr:uid="{00000000-0002-0000-1C00-000000000000}">
      <formula1>0</formula1>
      <formula2>50</formula2>
    </dataValidation>
  </dataValidation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9">
    <tabColor theme="8" tint="-0.249977111117893"/>
  </sheetPr>
  <dimension ref="B2:F28"/>
  <sheetViews>
    <sheetView zoomScale="115" zoomScaleNormal="115" workbookViewId="0">
      <selection activeCell="E8" sqref="E8"/>
    </sheetView>
  </sheetViews>
  <sheetFormatPr defaultRowHeight="14.45"/>
  <cols>
    <col min="1" max="2" width="4.42578125" customWidth="1"/>
    <col min="3" max="3" width="56.42578125" customWidth="1"/>
    <col min="4" max="4" width="14.42578125" customWidth="1"/>
    <col min="5" max="5" width="18.42578125" customWidth="1"/>
    <col min="6" max="6" width="4.42578125" customWidth="1"/>
    <col min="7" max="7" width="8.140625" customWidth="1"/>
  </cols>
  <sheetData>
    <row r="2" spans="2:6" ht="15" customHeight="1" thickBot="1"/>
    <row r="3" spans="2:6" ht="15" customHeight="1" thickBot="1">
      <c r="B3" s="429"/>
      <c r="C3" s="430"/>
      <c r="D3" s="430"/>
      <c r="E3" s="430"/>
      <c r="F3" s="431"/>
    </row>
    <row r="4" spans="2:6" ht="15" customHeight="1" thickBot="1">
      <c r="B4" s="432"/>
      <c r="C4" s="918" t="s">
        <v>259</v>
      </c>
      <c r="D4" s="919"/>
      <c r="E4" s="920"/>
      <c r="F4" s="433"/>
    </row>
    <row r="5" spans="2:6" ht="15" customHeight="1" thickBot="1">
      <c r="B5" s="432"/>
      <c r="C5" s="260"/>
      <c r="D5" s="260"/>
      <c r="E5" s="260"/>
      <c r="F5" s="433"/>
    </row>
    <row r="6" spans="2:6" ht="29.85" customHeight="1" thickBot="1">
      <c r="B6" s="432"/>
      <c r="C6" s="924" t="s">
        <v>260</v>
      </c>
      <c r="D6" s="925"/>
      <c r="E6" s="926"/>
      <c r="F6" s="433"/>
    </row>
    <row r="7" spans="2:6" ht="15" customHeight="1" thickBot="1">
      <c r="B7" s="432"/>
      <c r="C7" s="474"/>
      <c r="D7" s="474"/>
      <c r="E7" s="474"/>
      <c r="F7" s="433"/>
    </row>
    <row r="8" spans="2:6" ht="15" customHeight="1" thickBot="1">
      <c r="B8" s="432"/>
      <c r="C8" s="930" t="s">
        <v>2</v>
      </c>
      <c r="D8" s="931"/>
      <c r="E8" s="35">
        <v>0</v>
      </c>
      <c r="F8" s="433"/>
    </row>
    <row r="9" spans="2:6" ht="15" customHeight="1" thickBot="1">
      <c r="B9" s="432"/>
      <c r="C9" s="260"/>
      <c r="D9" s="260"/>
      <c r="E9" s="260"/>
      <c r="F9" s="433"/>
    </row>
    <row r="10" spans="2:6" ht="29.85" customHeight="1" thickBot="1">
      <c r="B10" s="432"/>
      <c r="C10" s="921" t="s">
        <v>261</v>
      </c>
      <c r="D10" s="922"/>
      <c r="E10" s="922"/>
      <c r="F10" s="433"/>
    </row>
    <row r="11" spans="2:6" ht="15" customHeight="1" thickBot="1">
      <c r="B11" s="432"/>
      <c r="C11" s="917" t="s">
        <v>262</v>
      </c>
      <c r="D11" s="923"/>
      <c r="E11" s="481" t="s">
        <v>263</v>
      </c>
      <c r="F11" s="433"/>
    </row>
    <row r="12" spans="2:6" ht="15" customHeight="1" thickBot="1">
      <c r="B12" s="432"/>
      <c r="C12" s="927" t="s">
        <v>264</v>
      </c>
      <c r="D12" s="927"/>
      <c r="E12" s="478">
        <f>E8*2</f>
        <v>0</v>
      </c>
      <c r="F12" s="433"/>
    </row>
    <row r="13" spans="2:6" ht="15" customHeight="1" thickBot="1">
      <c r="B13" s="432"/>
      <c r="C13" s="927" t="s">
        <v>265</v>
      </c>
      <c r="D13" s="927"/>
      <c r="E13" s="478">
        <f>E8*3</f>
        <v>0</v>
      </c>
      <c r="F13" s="433"/>
    </row>
    <row r="14" spans="2:6" ht="15" customHeight="1" thickBot="1">
      <c r="B14" s="432"/>
      <c r="C14" s="927" t="s">
        <v>266</v>
      </c>
      <c r="D14" s="927"/>
      <c r="E14" s="478">
        <f>E8*4</f>
        <v>0</v>
      </c>
      <c r="F14" s="433"/>
    </row>
    <row r="15" spans="2:6" ht="15" customHeight="1" thickBot="1">
      <c r="B15" s="432"/>
      <c r="C15" s="918"/>
      <c r="D15" s="919"/>
      <c r="E15" s="920"/>
      <c r="F15" s="433"/>
    </row>
    <row r="16" spans="2:6" ht="15" customHeight="1" thickBot="1">
      <c r="B16" s="432"/>
      <c r="C16" s="479" t="s">
        <v>267</v>
      </c>
      <c r="D16" s="479"/>
      <c r="E16" s="479"/>
      <c r="F16" s="433"/>
    </row>
    <row r="17" spans="2:6" ht="29.85" customHeight="1" thickBot="1">
      <c r="B17" s="432"/>
      <c r="C17" s="928" t="s">
        <v>268</v>
      </c>
      <c r="D17" s="928"/>
      <c r="E17" s="928"/>
      <c r="F17" s="433"/>
    </row>
    <row r="18" spans="2:6" ht="15" customHeight="1" thickBot="1">
      <c r="B18" s="432"/>
      <c r="C18" s="929" t="s">
        <v>269</v>
      </c>
      <c r="D18" s="929"/>
      <c r="E18" s="929"/>
      <c r="F18" s="433"/>
    </row>
    <row r="19" spans="2:6" ht="15" customHeight="1" thickBot="1">
      <c r="B19" s="432"/>
      <c r="C19" s="915" t="s">
        <v>270</v>
      </c>
      <c r="D19" s="915"/>
      <c r="E19" s="915"/>
      <c r="F19" s="433"/>
    </row>
    <row r="20" spans="2:6" ht="15" customHeight="1">
      <c r="B20" s="432"/>
      <c r="C20" s="260"/>
      <c r="D20" s="260"/>
      <c r="E20" s="260"/>
      <c r="F20" s="433"/>
    </row>
    <row r="21" spans="2:6" ht="15" customHeight="1" thickBot="1">
      <c r="B21" s="432"/>
      <c r="C21" s="260"/>
      <c r="D21" s="260"/>
      <c r="E21" s="260"/>
      <c r="F21" s="433"/>
    </row>
    <row r="22" spans="2:6" ht="15" customHeight="1" thickBot="1">
      <c r="B22" s="432"/>
      <c r="C22" s="917" t="s">
        <v>271</v>
      </c>
      <c r="D22" s="917"/>
      <c r="E22" s="917"/>
      <c r="F22" s="433"/>
    </row>
    <row r="23" spans="2:6" ht="15" customHeight="1" thickBot="1">
      <c r="B23" s="432"/>
      <c r="C23" s="477" t="s">
        <v>272</v>
      </c>
      <c r="D23" s="478" t="s">
        <v>273</v>
      </c>
      <c r="E23" s="478" t="s">
        <v>274</v>
      </c>
      <c r="F23" s="433"/>
    </row>
    <row r="24" spans="2:6" ht="15" customHeight="1" thickBot="1">
      <c r="B24" s="432"/>
      <c r="C24" s="477" t="s">
        <v>275</v>
      </c>
      <c r="D24" s="478">
        <f>E8*1</f>
        <v>0</v>
      </c>
      <c r="E24" s="483" t="s">
        <v>276</v>
      </c>
      <c r="F24" s="433"/>
    </row>
    <row r="25" spans="2:6" ht="29.85" customHeight="1" thickBot="1">
      <c r="B25" s="432"/>
      <c r="C25" s="447" t="s">
        <v>277</v>
      </c>
      <c r="D25" s="482" t="s">
        <v>276</v>
      </c>
      <c r="E25" s="480">
        <f>E8*1</f>
        <v>0</v>
      </c>
      <c r="F25" s="433"/>
    </row>
    <row r="26" spans="2:6" ht="37.35" customHeight="1" thickBot="1">
      <c r="B26" s="432"/>
      <c r="C26" s="916" t="s">
        <v>278</v>
      </c>
      <c r="D26" s="916"/>
      <c r="E26" s="916"/>
      <c r="F26" s="433"/>
    </row>
    <row r="27" spans="2:6" ht="15" customHeight="1" thickBot="1">
      <c r="B27" s="471"/>
      <c r="C27" s="475"/>
      <c r="D27" s="472"/>
      <c r="E27" s="476"/>
      <c r="F27" s="473"/>
    </row>
    <row r="28" spans="2:6" ht="15" customHeight="1"/>
  </sheetData>
  <sheetProtection algorithmName="SHA-512" hashValue="EQ6a9brBHCCZXu5++TfOwBBChNvXhGHHy1FLL2LUoEAOAcT+q5lYhozm/ltZGKbaj0xzVjeNFv6N9E5ZGoI6wg==" saltValue="ymq76JtS2vrNU/5xeLHM/g==" spinCount="100000" sheet="1" objects="1" scenarios="1" selectLockedCells="1"/>
  <mergeCells count="14">
    <mergeCell ref="C19:E19"/>
    <mergeCell ref="C26:E26"/>
    <mergeCell ref="C22:E22"/>
    <mergeCell ref="C4:E4"/>
    <mergeCell ref="C10:E10"/>
    <mergeCell ref="C11:D11"/>
    <mergeCell ref="C6:E6"/>
    <mergeCell ref="C12:D12"/>
    <mergeCell ref="C13:D13"/>
    <mergeCell ref="C14:D14"/>
    <mergeCell ref="C17:E17"/>
    <mergeCell ref="C18:E18"/>
    <mergeCell ref="C8:D8"/>
    <mergeCell ref="C15:E15"/>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7A5C-6AE5-4CB4-AD29-330BD5AE44E5}">
  <sheetPr codeName="Sheet24">
    <tabColor theme="8" tint="-0.249977111117893"/>
  </sheetPr>
  <dimension ref="B1:F36"/>
  <sheetViews>
    <sheetView zoomScaleNormal="100" workbookViewId="0">
      <selection activeCell="E6" sqref="E6"/>
    </sheetView>
  </sheetViews>
  <sheetFormatPr defaultRowHeight="14.45"/>
  <cols>
    <col min="1" max="2" width="4.42578125" customWidth="1"/>
    <col min="3" max="3" width="56.42578125" customWidth="1"/>
    <col min="4" max="4" width="14.85546875" customWidth="1"/>
    <col min="5" max="5" width="16" customWidth="1"/>
    <col min="6" max="7" width="4.42578125" customWidth="1"/>
  </cols>
  <sheetData>
    <row r="1" spans="2:6" ht="19.149999999999999" customHeight="1"/>
    <row r="2" spans="2:6" ht="15" customHeight="1" thickBot="1"/>
    <row r="3" spans="2:6" ht="15" customHeight="1" thickBot="1">
      <c r="B3" s="429"/>
      <c r="C3" s="430"/>
      <c r="D3" s="430"/>
      <c r="E3" s="430"/>
      <c r="F3" s="431"/>
    </row>
    <row r="4" spans="2:6" ht="15" thickBot="1">
      <c r="B4" s="432"/>
      <c r="C4" s="918" t="s">
        <v>279</v>
      </c>
      <c r="D4" s="919"/>
      <c r="E4" s="920"/>
      <c r="F4" s="433"/>
    </row>
    <row r="5" spans="2:6" ht="15" thickBot="1">
      <c r="B5" s="432"/>
      <c r="C5" s="260"/>
      <c r="D5" s="260"/>
      <c r="E5" s="260"/>
      <c r="F5" s="433"/>
    </row>
    <row r="6" spans="2:6" ht="15" thickBot="1">
      <c r="B6" s="432"/>
      <c r="C6" s="940" t="s">
        <v>280</v>
      </c>
      <c r="D6" s="940"/>
      <c r="E6" s="490"/>
      <c r="F6" s="484"/>
    </row>
    <row r="7" spans="2:6" ht="15" thickBot="1">
      <c r="B7" s="432"/>
      <c r="C7" s="485"/>
      <c r="D7" s="485"/>
      <c r="E7" s="486"/>
      <c r="F7" s="487"/>
    </row>
    <row r="8" spans="2:6" ht="15.75" customHeight="1" thickBot="1">
      <c r="B8" s="432"/>
      <c r="C8" s="941" t="s">
        <v>281</v>
      </c>
      <c r="D8" s="941"/>
      <c r="E8" s="495" t="s">
        <v>282</v>
      </c>
      <c r="F8" s="487"/>
    </row>
    <row r="9" spans="2:6" ht="15" thickBot="1">
      <c r="B9" s="432"/>
      <c r="C9" s="942" t="s">
        <v>283</v>
      </c>
      <c r="D9" s="942"/>
      <c r="E9" s="495">
        <f>E6*1.5</f>
        <v>0</v>
      </c>
      <c r="F9" s="487"/>
    </row>
    <row r="10" spans="2:6" ht="15" thickBot="1">
      <c r="B10" s="432"/>
      <c r="C10" s="485"/>
      <c r="D10" s="485"/>
      <c r="E10" s="438"/>
      <c r="F10" s="487"/>
    </row>
    <row r="11" spans="2:6" ht="15" thickBot="1">
      <c r="B11" s="432"/>
      <c r="C11" s="936" t="s">
        <v>284</v>
      </c>
      <c r="D11" s="937"/>
      <c r="E11" s="495" t="s">
        <v>282</v>
      </c>
      <c r="F11" s="487"/>
    </row>
    <row r="12" spans="2:6" ht="15" thickBot="1">
      <c r="B12" s="432"/>
      <c r="C12" s="938"/>
      <c r="D12" s="939"/>
      <c r="E12" s="495">
        <f>E6*1.5</f>
        <v>0</v>
      </c>
      <c r="F12" s="487"/>
    </row>
    <row r="13" spans="2:6" ht="15" thickBot="1">
      <c r="B13" s="432"/>
      <c r="C13" s="491"/>
      <c r="D13" s="491"/>
      <c r="E13" s="491"/>
      <c r="F13" s="487"/>
    </row>
    <row r="14" spans="2:6" ht="15" thickBot="1">
      <c r="B14" s="432"/>
      <c r="C14" s="932" t="s">
        <v>285</v>
      </c>
      <c r="D14" s="933"/>
      <c r="E14" s="933"/>
      <c r="F14" s="487"/>
    </row>
    <row r="15" spans="2:6" ht="15" thickBot="1">
      <c r="B15" s="432"/>
      <c r="C15" s="947"/>
      <c r="D15" s="947"/>
      <c r="E15" s="947"/>
      <c r="F15" s="487"/>
    </row>
    <row r="16" spans="2:6" ht="15" thickBot="1">
      <c r="B16" s="432"/>
      <c r="C16" s="945" t="s">
        <v>286</v>
      </c>
      <c r="D16" s="946"/>
      <c r="E16" s="444" t="s">
        <v>287</v>
      </c>
      <c r="F16" s="487"/>
    </row>
    <row r="17" spans="2:6" ht="15.75" customHeight="1" thickBot="1">
      <c r="B17" s="432"/>
      <c r="C17" s="949" t="s">
        <v>288</v>
      </c>
      <c r="D17" s="949"/>
      <c r="E17" s="492">
        <f>E6*0.25</f>
        <v>0</v>
      </c>
      <c r="F17" s="487"/>
    </row>
    <row r="18" spans="2:6" ht="15" thickBot="1">
      <c r="B18" s="432"/>
      <c r="C18" s="488"/>
      <c r="D18" s="260"/>
      <c r="E18" s="486"/>
      <c r="F18" s="433"/>
    </row>
    <row r="19" spans="2:6" ht="15" customHeight="1" thickBot="1">
      <c r="B19" s="432"/>
      <c r="C19" s="943" t="s">
        <v>289</v>
      </c>
      <c r="D19" s="943"/>
      <c r="E19" s="943"/>
      <c r="F19" s="433"/>
    </row>
    <row r="20" spans="2:6" ht="15" thickBot="1">
      <c r="B20" s="432"/>
      <c r="C20" s="485"/>
      <c r="D20" s="485"/>
      <c r="E20" s="485"/>
      <c r="F20" s="433"/>
    </row>
    <row r="21" spans="2:6" ht="37.5" customHeight="1" thickBot="1">
      <c r="B21" s="432"/>
      <c r="C21" s="932" t="s">
        <v>290</v>
      </c>
      <c r="D21" s="932"/>
      <c r="E21" s="932"/>
      <c r="F21" s="433"/>
    </row>
    <row r="22" spans="2:6" ht="15" thickBot="1">
      <c r="B22" s="432"/>
      <c r="C22" s="485"/>
      <c r="D22" s="485"/>
      <c r="E22" s="485"/>
      <c r="F22" s="433"/>
    </row>
    <row r="23" spans="2:6" ht="28.5" customHeight="1" thickBot="1">
      <c r="B23" s="432"/>
      <c r="C23" s="944" t="s">
        <v>291</v>
      </c>
      <c r="D23" s="943"/>
      <c r="E23" s="943"/>
      <c r="F23" s="433"/>
    </row>
    <row r="24" spans="2:6" ht="15" customHeight="1" thickBot="1">
      <c r="B24" s="432"/>
      <c r="C24" s="489"/>
      <c r="D24" s="489"/>
      <c r="E24" s="489"/>
      <c r="F24" s="433"/>
    </row>
    <row r="25" spans="2:6" ht="15" customHeight="1" thickBot="1">
      <c r="B25" s="432"/>
      <c r="C25" s="948" t="s">
        <v>292</v>
      </c>
      <c r="D25" s="948"/>
      <c r="E25" s="493" t="s">
        <v>293</v>
      </c>
      <c r="F25" s="433"/>
    </row>
    <row r="26" spans="2:6" ht="14.25" customHeight="1" thickBot="1">
      <c r="B26" s="432"/>
      <c r="C26" s="935" t="s">
        <v>294</v>
      </c>
      <c r="D26" s="935"/>
      <c r="E26" s="494">
        <f>E6*12</f>
        <v>0</v>
      </c>
      <c r="F26" s="433"/>
    </row>
    <row r="27" spans="2:6" ht="15" customHeight="1" thickBot="1">
      <c r="B27" s="432"/>
      <c r="C27" s="485"/>
      <c r="D27" s="485"/>
      <c r="E27" s="485"/>
      <c r="F27" s="433"/>
    </row>
    <row r="28" spans="2:6" ht="15" customHeight="1" thickBot="1">
      <c r="B28" s="432"/>
      <c r="C28" s="934" t="s">
        <v>295</v>
      </c>
      <c r="D28" s="934"/>
      <c r="E28" s="496" t="s">
        <v>287</v>
      </c>
      <c r="F28" s="433"/>
    </row>
    <row r="29" spans="2:6" ht="15" customHeight="1" thickBot="1">
      <c r="B29" s="432"/>
      <c r="C29" s="935" t="s">
        <v>296</v>
      </c>
      <c r="D29" s="935"/>
      <c r="E29" s="497">
        <f>E6*0.025</f>
        <v>0</v>
      </c>
      <c r="F29" s="433"/>
    </row>
    <row r="30" spans="2:6" ht="15" customHeight="1" thickBot="1">
      <c r="B30" s="432"/>
      <c r="C30" s="485"/>
      <c r="D30" s="485"/>
      <c r="E30" s="485"/>
      <c r="F30" s="433"/>
    </row>
    <row r="31" spans="2:6" ht="32.25" customHeight="1" thickBot="1">
      <c r="B31" s="432"/>
      <c r="C31" s="932" t="s">
        <v>297</v>
      </c>
      <c r="D31" s="932"/>
      <c r="E31" s="932"/>
      <c r="F31" s="433"/>
    </row>
    <row r="32" spans="2:6" ht="15" customHeight="1" thickBot="1">
      <c r="B32" s="432"/>
      <c r="C32" s="485"/>
      <c r="D32" s="485"/>
      <c r="E32" s="485"/>
      <c r="F32" s="433"/>
    </row>
    <row r="33" spans="2:6" ht="15" thickBot="1">
      <c r="B33" s="432"/>
      <c r="C33" s="943" t="s">
        <v>298</v>
      </c>
      <c r="D33" s="943"/>
      <c r="E33" s="943"/>
      <c r="F33" s="433"/>
    </row>
    <row r="34" spans="2:6" ht="15" thickBot="1">
      <c r="B34" s="432"/>
      <c r="C34" s="260"/>
      <c r="D34" s="260"/>
      <c r="E34" s="260"/>
      <c r="F34" s="433"/>
    </row>
    <row r="35" spans="2:6" ht="27.75" customHeight="1" thickBot="1">
      <c r="B35" s="432"/>
      <c r="C35" s="944" t="s">
        <v>299</v>
      </c>
      <c r="D35" s="944"/>
      <c r="E35" s="944"/>
      <c r="F35" s="433"/>
    </row>
    <row r="36" spans="2:6" ht="21.4" customHeight="1" thickBot="1">
      <c r="B36" s="471"/>
      <c r="C36" s="475"/>
      <c r="D36" s="472"/>
      <c r="E36" s="476"/>
      <c r="F36" s="473"/>
    </row>
  </sheetData>
  <sheetProtection algorithmName="SHA-512" hashValue="Ryfvjiy6BA/sko8LRTCesBpLJbOeqwGpnzVU0QmUzPuSvGmn6AcTMn0tw941839g/+sXGi55+htZtGjjrC/fAw==" saltValue="JgNcHxxW7VHVHnG77vhfJw==" spinCount="100000" sheet="1" selectLockedCells="1"/>
  <mergeCells count="19">
    <mergeCell ref="C33:E33"/>
    <mergeCell ref="C35:E35"/>
    <mergeCell ref="C16:D16"/>
    <mergeCell ref="C15:E15"/>
    <mergeCell ref="C25:D25"/>
    <mergeCell ref="C26:D26"/>
    <mergeCell ref="C31:E31"/>
    <mergeCell ref="C17:D17"/>
    <mergeCell ref="C19:E19"/>
    <mergeCell ref="C21:E21"/>
    <mergeCell ref="C23:E23"/>
    <mergeCell ref="C14:E14"/>
    <mergeCell ref="C28:D28"/>
    <mergeCell ref="C29:D29"/>
    <mergeCell ref="C11:D12"/>
    <mergeCell ref="C4:E4"/>
    <mergeCell ref="C6:D6"/>
    <mergeCell ref="C8:D8"/>
    <mergeCell ref="C9:D9"/>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tabColor rgb="FFCC99FF"/>
  </sheetPr>
  <dimension ref="B1:F20"/>
  <sheetViews>
    <sheetView workbookViewId="0">
      <selection activeCell="D9" sqref="D9"/>
    </sheetView>
  </sheetViews>
  <sheetFormatPr defaultRowHeight="14.45"/>
  <cols>
    <col min="1" max="2" width="4.42578125" customWidth="1"/>
    <col min="3" max="3" width="56.42578125" customWidth="1"/>
    <col min="4" max="4" width="12.42578125" bestFit="1" customWidth="1"/>
    <col min="5" max="5" width="16" customWidth="1"/>
    <col min="6" max="6" width="4.42578125" customWidth="1"/>
    <col min="7" max="7" width="8.140625" customWidth="1"/>
    <col min="9" max="9" width="51.42578125" bestFit="1" customWidth="1"/>
    <col min="10" max="10" width="10.42578125" customWidth="1"/>
    <col min="11" max="11" width="5.85546875" bestFit="1" customWidth="1"/>
  </cols>
  <sheetData>
    <row r="1" spans="2:6" ht="19.149999999999999" customHeight="1"/>
    <row r="2" spans="2:6" ht="15" customHeight="1" thickBot="1"/>
    <row r="3" spans="2:6" ht="15" customHeight="1" thickBot="1">
      <c r="B3" s="429"/>
      <c r="C3" s="430"/>
      <c r="D3" s="430"/>
      <c r="E3" s="430"/>
      <c r="F3" s="431"/>
    </row>
    <row r="4" spans="2:6" ht="15" thickBot="1">
      <c r="B4" s="432"/>
      <c r="C4" s="918" t="s">
        <v>300</v>
      </c>
      <c r="D4" s="919"/>
      <c r="E4" s="920"/>
      <c r="F4" s="433"/>
    </row>
    <row r="5" spans="2:6" ht="15" thickBot="1">
      <c r="B5" s="432"/>
      <c r="C5" s="260"/>
      <c r="D5" s="260"/>
      <c r="E5" s="260"/>
      <c r="F5" s="433"/>
    </row>
    <row r="6" spans="2:6" ht="15" thickBot="1">
      <c r="B6" s="432"/>
      <c r="C6" s="950" t="s">
        <v>301</v>
      </c>
      <c r="D6" s="950"/>
      <c r="E6" s="950"/>
      <c r="F6" s="433"/>
    </row>
    <row r="7" spans="2:6" ht="15" thickBot="1">
      <c r="B7" s="432"/>
      <c r="C7" s="954" t="s">
        <v>302</v>
      </c>
      <c r="D7" s="950"/>
      <c r="E7" s="950"/>
      <c r="F7" s="433"/>
    </row>
    <row r="8" spans="2:6" ht="15" thickBot="1">
      <c r="B8" s="432"/>
      <c r="C8" s="498"/>
      <c r="D8" s="498"/>
      <c r="E8" s="498"/>
      <c r="F8" s="433"/>
    </row>
    <row r="9" spans="2:6" ht="15" thickBot="1">
      <c r="B9" s="432"/>
      <c r="C9" s="499" t="s">
        <v>303</v>
      </c>
      <c r="D9" s="500"/>
      <c r="E9" s="501" t="s">
        <v>304</v>
      </c>
      <c r="F9" s="433"/>
    </row>
    <row r="10" spans="2:6" ht="15" thickBot="1">
      <c r="B10" s="432"/>
      <c r="C10" s="260"/>
      <c r="D10" s="486"/>
      <c r="E10" s="486"/>
      <c r="F10" s="433"/>
    </row>
    <row r="11" spans="2:6" ht="15" thickBot="1">
      <c r="B11" s="432"/>
      <c r="C11" s="502" t="s">
        <v>305</v>
      </c>
      <c r="D11" s="501"/>
      <c r="E11" s="501"/>
      <c r="F11" s="433"/>
    </row>
    <row r="12" spans="2:6" ht="15" thickBot="1">
      <c r="B12" s="432"/>
      <c r="C12" s="503" t="s">
        <v>306</v>
      </c>
      <c r="D12" s="504">
        <f>MIN(D9,100)*5</f>
        <v>500</v>
      </c>
      <c r="E12" s="505" t="s">
        <v>307</v>
      </c>
      <c r="F12" s="433"/>
    </row>
    <row r="13" spans="2:6" ht="15" thickBot="1">
      <c r="B13" s="432"/>
      <c r="C13" s="503" t="s">
        <v>308</v>
      </c>
      <c r="D13" s="504">
        <f>MIN(D9,100)*0.5</f>
        <v>50</v>
      </c>
      <c r="E13" s="505" t="s">
        <v>307</v>
      </c>
      <c r="F13" s="433"/>
    </row>
    <row r="14" spans="2:6" ht="15" thickBot="1">
      <c r="B14" s="432"/>
      <c r="C14" s="260"/>
      <c r="D14" s="486"/>
      <c r="E14" s="486"/>
      <c r="F14" s="433"/>
    </row>
    <row r="15" spans="2:6" ht="15" thickBot="1">
      <c r="B15" s="432"/>
      <c r="C15" s="506" t="s">
        <v>309</v>
      </c>
      <c r="D15" s="502"/>
      <c r="E15" s="502"/>
      <c r="F15" s="433"/>
    </row>
    <row r="16" spans="2:6" ht="15" thickBot="1">
      <c r="B16" s="432"/>
      <c r="C16" s="503" t="s">
        <v>310</v>
      </c>
      <c r="D16" s="507">
        <f>150*MIN(D9,100)</f>
        <v>15000</v>
      </c>
      <c r="E16" s="501" t="s">
        <v>311</v>
      </c>
      <c r="F16" s="433"/>
    </row>
    <row r="17" spans="2:6" ht="15" thickBot="1">
      <c r="B17" s="432"/>
      <c r="C17" s="503" t="s">
        <v>312</v>
      </c>
      <c r="D17" s="507">
        <f>15*MIN(D9,100)</f>
        <v>1500</v>
      </c>
      <c r="E17" s="501" t="s">
        <v>311</v>
      </c>
      <c r="F17" s="433"/>
    </row>
    <row r="18" spans="2:6" ht="15" thickBot="1">
      <c r="B18" s="432"/>
      <c r="C18" s="260"/>
      <c r="D18" s="260"/>
      <c r="E18" s="260"/>
      <c r="F18" s="433"/>
    </row>
    <row r="19" spans="2:6" ht="15" thickBot="1">
      <c r="B19" s="432"/>
      <c r="C19" s="951" t="s">
        <v>313</v>
      </c>
      <c r="D19" s="952"/>
      <c r="E19" s="953"/>
      <c r="F19" s="433"/>
    </row>
    <row r="20" spans="2:6" ht="15" thickBot="1">
      <c r="B20" s="471"/>
      <c r="C20" s="472"/>
      <c r="D20" s="472"/>
      <c r="E20" s="472"/>
      <c r="F20" s="473"/>
    </row>
  </sheetData>
  <sheetProtection algorithmName="SHA-512" hashValue="Jok2jBmaSYCu+f46b3UN2ZFH/HvC1Zoo5s87i/n0t4BP9OwBmRxb5mf2SPAXQjlqNRyFjXxVF9qNaRf7njCV8g==" saltValue="Otb8xwv2BF9qaQZZoPStXw==" spinCount="100000" sheet="1" selectLockedCells="1"/>
  <mergeCells count="4">
    <mergeCell ref="C4:E4"/>
    <mergeCell ref="C6:E6"/>
    <mergeCell ref="C19:E19"/>
    <mergeCell ref="C7:E7"/>
  </mergeCells>
  <hyperlinks>
    <hyperlink ref="C7" r:id="rId1" xr:uid="{00000000-0004-0000-1F00-000000000000}"/>
  </hyperlinks>
  <pageMargins left="0.7" right="0.7" top="0.75" bottom="0.75" header="0.3" footer="0.3"/>
  <pageSetup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1923-8598-4CA0-91C9-78D78DEDF73A}">
  <sheetPr codeName="Sheet29">
    <tabColor rgb="FFCC99FF"/>
  </sheetPr>
  <dimension ref="B1:W25"/>
  <sheetViews>
    <sheetView zoomScale="110" zoomScaleNormal="110" workbookViewId="0"/>
  </sheetViews>
  <sheetFormatPr defaultRowHeight="14.45"/>
  <cols>
    <col min="1" max="1" width="8.85546875" customWidth="1"/>
    <col min="2" max="2" width="3" customWidth="1"/>
    <col min="3" max="3" width="11.85546875" customWidth="1"/>
    <col min="4" max="4" width="29" customWidth="1"/>
    <col min="5" max="5" width="12.42578125" bestFit="1" customWidth="1"/>
    <col min="6" max="6" width="7" bestFit="1" customWidth="1"/>
    <col min="7" max="7" width="3.140625" customWidth="1"/>
    <col min="8" max="8" width="3" customWidth="1"/>
    <col min="10" max="10" width="3.5703125" customWidth="1"/>
    <col min="11" max="11" width="17" bestFit="1" customWidth="1"/>
    <col min="12" max="12" width="17.28515625" bestFit="1" customWidth="1"/>
    <col min="13" max="13" width="12.42578125" bestFit="1" customWidth="1"/>
    <col min="14" max="14" width="7" bestFit="1" customWidth="1"/>
    <col min="15" max="15" width="4.7109375" customWidth="1"/>
    <col min="16" max="16" width="12.140625" bestFit="1" customWidth="1"/>
    <col min="17" max="17" width="7.28515625" bestFit="1" customWidth="1"/>
    <col min="18" max="18" width="8.85546875" customWidth="1"/>
    <col min="19" max="19" width="7.28515625" customWidth="1"/>
    <col min="20" max="20" width="8.85546875" customWidth="1"/>
    <col min="21" max="21" width="7.28515625" bestFit="1" customWidth="1"/>
    <col min="22" max="22" width="17" bestFit="1" customWidth="1"/>
    <col min="23" max="23" width="17.28515625" bestFit="1" customWidth="1"/>
  </cols>
  <sheetData>
    <row r="1" spans="2:23" ht="15" thickBot="1"/>
    <row r="2" spans="2:23" ht="21.6" thickBot="1">
      <c r="D2" s="962" t="s">
        <v>314</v>
      </c>
      <c r="E2" s="963"/>
      <c r="F2" s="963"/>
      <c r="G2" s="963"/>
      <c r="H2" s="963"/>
      <c r="I2" s="963"/>
      <c r="J2" s="963"/>
      <c r="K2" s="963"/>
      <c r="L2" s="963"/>
      <c r="M2" s="963"/>
      <c r="N2" s="963"/>
      <c r="O2" s="963"/>
      <c r="P2" s="963"/>
      <c r="Q2" s="963"/>
      <c r="R2" s="964"/>
    </row>
    <row r="4" spans="2:23" ht="15" thickBot="1"/>
    <row r="5" spans="2:23" ht="15" thickBot="1">
      <c r="B5" s="969" t="s">
        <v>315</v>
      </c>
      <c r="C5" s="970"/>
      <c r="D5" s="970"/>
      <c r="E5" s="970"/>
      <c r="F5" s="970"/>
      <c r="G5" s="971"/>
      <c r="U5" s="516" t="s">
        <v>316</v>
      </c>
      <c r="V5" s="517" t="s">
        <v>317</v>
      </c>
      <c r="W5" s="517" t="s">
        <v>318</v>
      </c>
    </row>
    <row r="6" spans="2:23" ht="15" thickBot="1">
      <c r="B6" s="972"/>
      <c r="C6" s="973"/>
      <c r="D6" s="973"/>
      <c r="E6" s="973"/>
      <c r="F6" s="973"/>
      <c r="G6" s="974"/>
      <c r="U6" s="511">
        <v>4</v>
      </c>
      <c r="V6" s="512">
        <f t="shared" ref="V6:V24" si="0">10^(((LOG(500)-LOG(1000))*(U6-4)/4)+LOG(1000))</f>
        <v>1000</v>
      </c>
      <c r="W6" s="513">
        <f t="shared" ref="W6:W24" si="1">10^(((LOG(2000)-LOG(4000))*(U6-4)/4)+LOG(4000))</f>
        <v>4000.0000000000068</v>
      </c>
    </row>
    <row r="7" spans="2:23" ht="15" thickBot="1">
      <c r="B7" s="975"/>
      <c r="C7" s="976"/>
      <c r="D7" s="976"/>
      <c r="E7" s="976"/>
      <c r="F7" s="976"/>
      <c r="G7" s="977"/>
      <c r="U7" s="511">
        <v>5</v>
      </c>
      <c r="V7" s="512">
        <f t="shared" si="0"/>
        <v>840.89641525371474</v>
      </c>
      <c r="W7" s="513">
        <f t="shared" si="1"/>
        <v>3363.5856610148626</v>
      </c>
    </row>
    <row r="8" spans="2:23" ht="15" thickBot="1">
      <c r="B8" s="432"/>
      <c r="C8" s="955" t="s">
        <v>319</v>
      </c>
      <c r="D8" s="956"/>
      <c r="E8" s="956"/>
      <c r="F8" s="957"/>
      <c r="G8" s="433"/>
      <c r="U8" s="511">
        <v>6</v>
      </c>
      <c r="V8" s="512">
        <f t="shared" si="0"/>
        <v>707.10678118654801</v>
      </c>
      <c r="W8" s="513">
        <f t="shared" si="1"/>
        <v>2828.4271247461925</v>
      </c>
    </row>
    <row r="9" spans="2:23" ht="13.5" customHeight="1" thickBot="1">
      <c r="B9" s="469"/>
      <c r="C9" s="958"/>
      <c r="D9" s="959"/>
      <c r="E9" s="959"/>
      <c r="F9" s="960"/>
      <c r="G9" s="470"/>
      <c r="U9" s="511">
        <v>7</v>
      </c>
      <c r="V9" s="512">
        <f t="shared" si="0"/>
        <v>594.60355750136057</v>
      </c>
      <c r="W9" s="513">
        <f t="shared" si="1"/>
        <v>2378.414230005445</v>
      </c>
    </row>
    <row r="10" spans="2:23" ht="15.75" customHeight="1" thickBot="1">
      <c r="B10" s="432"/>
      <c r="C10" s="260"/>
      <c r="D10" s="260"/>
      <c r="E10" s="260"/>
      <c r="F10" s="260"/>
      <c r="G10" s="433"/>
      <c r="U10" s="511">
        <v>8</v>
      </c>
      <c r="V10" s="512">
        <f t="shared" si="0"/>
        <v>500.00000000000028</v>
      </c>
      <c r="W10" s="513">
        <f t="shared" si="1"/>
        <v>2000.0000000000016</v>
      </c>
    </row>
    <row r="11" spans="2:23" ht="15" thickBot="1">
      <c r="B11" s="432"/>
      <c r="C11" s="968" t="s">
        <v>320</v>
      </c>
      <c r="D11" s="968"/>
      <c r="E11" s="508"/>
      <c r="F11" s="509" t="s">
        <v>321</v>
      </c>
      <c r="G11" s="433"/>
      <c r="U11" s="511">
        <v>10</v>
      </c>
      <c r="V11" s="512">
        <f t="shared" si="0"/>
        <v>353.55339059327395</v>
      </c>
      <c r="W11" s="513">
        <f t="shared" si="1"/>
        <v>1414.213562373096</v>
      </c>
    </row>
    <row r="12" spans="2:23" ht="15" thickBot="1">
      <c r="B12" s="432"/>
      <c r="C12" s="968" t="s">
        <v>322</v>
      </c>
      <c r="D12" s="968"/>
      <c r="E12" s="508"/>
      <c r="F12" s="510" t="s">
        <v>323</v>
      </c>
      <c r="G12" s="433"/>
      <c r="U12" s="511">
        <v>12</v>
      </c>
      <c r="V12" s="512">
        <f t="shared" si="0"/>
        <v>250.00000000000011</v>
      </c>
      <c r="W12" s="513">
        <f t="shared" si="1"/>
        <v>1000</v>
      </c>
    </row>
    <row r="13" spans="2:23" ht="15" thickBot="1">
      <c r="B13" s="432"/>
      <c r="C13" s="260"/>
      <c r="D13" s="260"/>
      <c r="E13" s="260"/>
      <c r="F13" s="260"/>
      <c r="G13" s="433"/>
      <c r="U13" s="511">
        <v>13</v>
      </c>
      <c r="V13" s="512">
        <f t="shared" si="0"/>
        <v>210.22410381342863</v>
      </c>
      <c r="W13" s="513">
        <f t="shared" si="1"/>
        <v>840.89641525371474</v>
      </c>
    </row>
    <row r="14" spans="2:23" ht="15" thickBot="1">
      <c r="B14" s="469"/>
      <c r="C14" s="965" t="str">
        <f>IF($E$11 &lt; INT(10^(((LOG(500)-LOG(1000))*($E$12-4)/4)+LOG(1000))),"Treatment Not Needed",IF($E$11 &gt;= INT(10^(((LOG(2000)-LOG(4000))*($E$12-4)/4)+LOG(4000))),"Consult On-Call Toxicologist","Regular Treatment Needed"))</f>
        <v>Treatment Not Needed</v>
      </c>
      <c r="D14" s="966"/>
      <c r="E14" s="966"/>
      <c r="F14" s="967"/>
      <c r="G14" s="470"/>
      <c r="U14" s="511">
        <v>14</v>
      </c>
      <c r="V14" s="512">
        <f t="shared" si="0"/>
        <v>176.77669529663694</v>
      </c>
      <c r="W14" s="513">
        <f t="shared" si="1"/>
        <v>707.10678118654801</v>
      </c>
    </row>
    <row r="15" spans="2:23" ht="15" thickBot="1">
      <c r="B15" s="471"/>
      <c r="C15" s="472"/>
      <c r="D15" s="472"/>
      <c r="E15" s="472"/>
      <c r="F15" s="472"/>
      <c r="G15" s="473"/>
      <c r="U15" s="511">
        <v>15</v>
      </c>
      <c r="V15" s="512">
        <f t="shared" si="0"/>
        <v>148.65088937534014</v>
      </c>
      <c r="W15" s="513">
        <f t="shared" si="1"/>
        <v>594.60355750136057</v>
      </c>
    </row>
    <row r="16" spans="2:23" ht="15" thickBot="1">
      <c r="U16" s="511">
        <v>16</v>
      </c>
      <c r="V16" s="512">
        <f t="shared" si="0"/>
        <v>125.00000000000004</v>
      </c>
      <c r="W16" s="513">
        <f t="shared" si="1"/>
        <v>500.00000000000028</v>
      </c>
    </row>
    <row r="17" spans="2:23" ht="15" thickBot="1">
      <c r="U17" s="511">
        <v>17</v>
      </c>
      <c r="V17" s="512">
        <f t="shared" si="0"/>
        <v>105.11205190671431</v>
      </c>
      <c r="W17" s="513">
        <f t="shared" si="1"/>
        <v>420.44820762685731</v>
      </c>
    </row>
    <row r="18" spans="2:23" ht="15" thickBot="1">
      <c r="B18" s="429"/>
      <c r="C18" s="430"/>
      <c r="D18" s="430"/>
      <c r="E18" s="430"/>
      <c r="F18" s="430"/>
      <c r="G18" s="431"/>
      <c r="U18" s="511">
        <v>18</v>
      </c>
      <c r="V18" s="512">
        <f t="shared" si="0"/>
        <v>88.388347648318472</v>
      </c>
      <c r="W18" s="513">
        <f t="shared" si="1"/>
        <v>353.55339059327395</v>
      </c>
    </row>
    <row r="19" spans="2:23" ht="15" thickBot="1">
      <c r="B19" s="469"/>
      <c r="C19" s="955" t="s">
        <v>324</v>
      </c>
      <c r="D19" s="956"/>
      <c r="E19" s="956"/>
      <c r="F19" s="957"/>
      <c r="G19" s="433"/>
      <c r="U19" s="511">
        <v>19</v>
      </c>
      <c r="V19" s="512">
        <f t="shared" si="0"/>
        <v>74.325444687670057</v>
      </c>
      <c r="W19" s="513">
        <f t="shared" si="1"/>
        <v>297.30177875068028</v>
      </c>
    </row>
    <row r="20" spans="2:23" ht="15" thickBot="1">
      <c r="B20" s="469"/>
      <c r="C20" s="958"/>
      <c r="D20" s="959"/>
      <c r="E20" s="959"/>
      <c r="F20" s="960"/>
      <c r="G20" s="470"/>
      <c r="U20" s="511">
        <v>20</v>
      </c>
      <c r="V20" s="512">
        <f t="shared" si="0"/>
        <v>62.499999999999964</v>
      </c>
      <c r="W20" s="513">
        <f t="shared" si="1"/>
        <v>250.00000000000011</v>
      </c>
    </row>
    <row r="21" spans="2:23" ht="15" thickBot="1">
      <c r="B21" s="469"/>
      <c r="C21" s="260"/>
      <c r="D21" s="260"/>
      <c r="E21" s="260"/>
      <c r="F21" s="260"/>
      <c r="G21" s="470"/>
      <c r="U21" s="511">
        <v>21</v>
      </c>
      <c r="V21" s="512">
        <f t="shared" si="0"/>
        <v>52.55602595335715</v>
      </c>
      <c r="W21" s="513">
        <f t="shared" si="1"/>
        <v>210.22410381342863</v>
      </c>
    </row>
    <row r="22" spans="2:23" ht="15" customHeight="1" thickBot="1">
      <c r="B22" s="432"/>
      <c r="C22" s="483" t="s">
        <v>325</v>
      </c>
      <c r="D22" s="483" t="s">
        <v>187</v>
      </c>
      <c r="E22" s="483" t="s">
        <v>188</v>
      </c>
      <c r="F22" s="519" t="s">
        <v>189</v>
      </c>
      <c r="G22" s="433"/>
      <c r="U22" s="511">
        <v>22</v>
      </c>
      <c r="V22" s="512">
        <f t="shared" si="0"/>
        <v>44.194173824159215</v>
      </c>
      <c r="W22" s="513">
        <f t="shared" si="1"/>
        <v>176.77669529663694</v>
      </c>
    </row>
    <row r="23" spans="2:23" ht="15" customHeight="1" thickBot="1">
      <c r="B23" s="432"/>
      <c r="C23" s="518">
        <v>10</v>
      </c>
      <c r="D23" s="508" t="s">
        <v>326</v>
      </c>
      <c r="E23" s="508" t="s">
        <v>321</v>
      </c>
      <c r="F23" s="520">
        <f>IF(AND(D23="mg/L",E23="µmol/L"),C23*6.616,IF(AND(D23="µmol/L",E23="mg/L"),C23/6.616))</f>
        <v>66.16</v>
      </c>
      <c r="G23" s="433"/>
      <c r="U23" s="511">
        <v>23</v>
      </c>
      <c r="V23" s="512">
        <f t="shared" si="0"/>
        <v>37.162722343835028</v>
      </c>
      <c r="W23" s="513">
        <f t="shared" si="1"/>
        <v>148.65088937534014</v>
      </c>
    </row>
    <row r="24" spans="2:23" ht="15" thickBot="1">
      <c r="B24" s="432"/>
      <c r="C24" s="961" t="s">
        <v>327</v>
      </c>
      <c r="D24" s="961"/>
      <c r="E24" s="961"/>
      <c r="F24" s="961"/>
      <c r="G24" s="433"/>
      <c r="I24" s="34"/>
      <c r="U24" s="468">
        <v>24</v>
      </c>
      <c r="V24" s="514">
        <f t="shared" si="0"/>
        <v>31.249999999999993</v>
      </c>
      <c r="W24" s="515">
        <f t="shared" si="1"/>
        <v>125.00000000000004</v>
      </c>
    </row>
    <row r="25" spans="2:23" ht="15" thickBot="1">
      <c r="B25" s="471"/>
      <c r="C25" s="476"/>
      <c r="D25" s="476"/>
      <c r="E25" s="472"/>
      <c r="F25" s="472"/>
      <c r="G25" s="473"/>
    </row>
  </sheetData>
  <sheetProtection algorithmName="SHA-512" hashValue="3PjkPtAZw6h1Vx4UaRnt4GyLPUc4Ef/DyLQbO6fmWfPypzXgp19ZWN3Gj7x++bTJOgBf73nocGn9GXmeTseKMQ==" saltValue="ojFfVI3Y+f7N6HScAERxNg==" spinCount="100000" sheet="1" objects="1" scenarios="1"/>
  <mergeCells count="9">
    <mergeCell ref="C19:F20"/>
    <mergeCell ref="C24:F24"/>
    <mergeCell ref="D2:R2"/>
    <mergeCell ref="C14:F14"/>
    <mergeCell ref="C8:F9"/>
    <mergeCell ref="C11:D11"/>
    <mergeCell ref="C12:D12"/>
    <mergeCell ref="B5:G6"/>
    <mergeCell ref="B7:G7"/>
  </mergeCells>
  <conditionalFormatting sqref="C14">
    <cfRule type="cellIs" dxfId="16" priority="1" operator="equal">
      <formula>"Regular Treatment Needed"</formula>
    </cfRule>
    <cfRule type="cellIs" dxfId="15" priority="2" operator="equal">
      <formula>"Treatment Not Needed"</formula>
    </cfRule>
    <cfRule type="containsText" dxfId="14" priority="3" operator="containsText" text="Consult On-Call Toxicologist">
      <formula>NOT(ISERROR(SEARCH("Consult On-Call Toxicologist",C14)))</formula>
    </cfRule>
    <cfRule type="cellIs" dxfId="13" priority="4" operator="equal">
      <formula>"Regular Treatment Needed"</formula>
    </cfRule>
    <cfRule type="cellIs" dxfId="12" priority="5" operator="equal">
      <formula>"Treatment Not Needed"</formula>
    </cfRule>
    <cfRule type="containsText" dxfId="11" priority="6" operator="containsText" text="Consult On-Call Toxicologist">
      <formula>NOT(ISERROR(SEARCH("Consult On-Call Toxicologist",C14)))</formula>
    </cfRule>
  </conditionalFormatting>
  <dataValidations count="3">
    <dataValidation type="list" allowBlank="1" showInputMessage="1" showErrorMessage="1" sqref="E23" xr:uid="{D5C37F5D-09B1-4299-8D8F-B8574DAB6808}">
      <formula1>"µmol/L, mg/L,"</formula1>
    </dataValidation>
    <dataValidation type="list" allowBlank="1" showInputMessage="1" showErrorMessage="1" sqref="D23" xr:uid="{AF73D930-B770-4A78-9225-412F4DAC4537}">
      <formula1>"µmol/L, mg/L"</formula1>
    </dataValidation>
    <dataValidation type="decimal" allowBlank="1" showInputMessage="1" showErrorMessage="1" errorTitle="&lt;24.1hrs" error="APAP level must be drawn between 4-24 hours post ingestion to be plotted on the nomogram" sqref="E12" xr:uid="{9F612DA8-B4BC-40C9-B1E8-4BCFC0426458}">
      <formula1>4</formula1>
      <formula2>24</formula2>
    </dataValidation>
  </dataValidations>
  <pageMargins left="0.7" right="0.7" top="0.75" bottom="0.75" header="0.3" footer="0.3"/>
  <drawing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88F24-E9B2-4A29-AB24-51C8737431FC}">
  <sheetPr>
    <tabColor theme="0" tint="-0.249977111117893"/>
  </sheetPr>
  <dimension ref="B1:V99"/>
  <sheetViews>
    <sheetView zoomScaleNormal="100" workbookViewId="0">
      <selection activeCell="N24" sqref="N24"/>
    </sheetView>
  </sheetViews>
  <sheetFormatPr defaultColWidth="9.140625" defaultRowHeight="15.6"/>
  <cols>
    <col min="1" max="1" width="9.140625" style="167"/>
    <col min="2" max="2" width="4.42578125" style="167" customWidth="1"/>
    <col min="3" max="7" width="9.140625" style="167"/>
    <col min="8" max="8" width="31.42578125" style="167" customWidth="1"/>
    <col min="9" max="9" width="15.140625" style="167" customWidth="1"/>
    <col min="10" max="10" width="14" style="167" customWidth="1"/>
    <col min="11" max="11" width="4.42578125" style="167" customWidth="1"/>
    <col min="12" max="12" width="12.5703125" style="167" customWidth="1"/>
    <col min="13" max="13" width="4.42578125" style="167" customWidth="1"/>
    <col min="14" max="16" width="9.140625" style="167"/>
    <col min="17" max="17" width="13" style="167" customWidth="1"/>
    <col min="18" max="18" width="24.28515625" style="168" customWidth="1"/>
    <col min="19" max="19" width="9.140625" style="167"/>
    <col min="20" max="20" width="10.5703125" style="168" customWidth="1"/>
    <col min="21" max="21" width="12.85546875" style="167" customWidth="1"/>
    <col min="22" max="22" width="4.42578125" style="167" customWidth="1"/>
    <col min="23" max="16384" width="9.140625" style="167"/>
  </cols>
  <sheetData>
    <row r="1" spans="2:22" ht="16.149999999999999" thickBot="1"/>
    <row r="2" spans="2:22" ht="24" thickBot="1">
      <c r="F2" s="978" t="s">
        <v>328</v>
      </c>
      <c r="G2" s="979"/>
      <c r="H2" s="979"/>
      <c r="I2" s="979"/>
      <c r="J2" s="979"/>
      <c r="K2" s="979"/>
      <c r="L2" s="979"/>
      <c r="M2" s="979"/>
      <c r="N2" s="979"/>
      <c r="O2" s="979"/>
      <c r="P2" s="979"/>
      <c r="Q2" s="979"/>
      <c r="R2" s="980"/>
    </row>
    <row r="4" spans="2:22" ht="16.149999999999999" thickBot="1"/>
    <row r="5" spans="2:22" ht="24" thickBot="1">
      <c r="B5" s="981" t="s">
        <v>329</v>
      </c>
      <c r="C5" s="982"/>
      <c r="D5" s="982"/>
      <c r="E5" s="982"/>
      <c r="F5" s="982"/>
      <c r="G5" s="982"/>
      <c r="H5" s="982"/>
      <c r="I5" s="982"/>
      <c r="J5" s="982"/>
      <c r="K5" s="983"/>
      <c r="M5" s="521"/>
      <c r="N5" s="522"/>
      <c r="O5" s="522"/>
      <c r="P5" s="523"/>
      <c r="Q5" s="524"/>
      <c r="R5" s="525"/>
      <c r="S5" s="524"/>
      <c r="T5" s="525"/>
      <c r="U5" s="524"/>
      <c r="V5" s="526"/>
    </row>
    <row r="6" spans="2:22" ht="24" thickBot="1">
      <c r="B6" s="521"/>
      <c r="C6" s="522"/>
      <c r="D6" s="522"/>
      <c r="E6" s="523"/>
      <c r="F6" s="524"/>
      <c r="G6" s="525"/>
      <c r="H6" s="524"/>
      <c r="I6" s="525"/>
      <c r="J6" s="524"/>
      <c r="K6" s="526"/>
      <c r="M6" s="527"/>
      <c r="N6" s="994" t="s">
        <v>330</v>
      </c>
      <c r="O6" s="995"/>
      <c r="P6" s="995"/>
      <c r="Q6" s="995"/>
      <c r="R6" s="995"/>
      <c r="S6" s="995"/>
      <c r="T6" s="995"/>
      <c r="U6" s="996"/>
      <c r="V6" s="528"/>
    </row>
    <row r="7" spans="2:22" ht="16.149999999999999" thickBot="1">
      <c r="B7" s="984" t="s">
        <v>331</v>
      </c>
      <c r="C7" s="985"/>
      <c r="D7" s="985"/>
      <c r="E7" s="985"/>
      <c r="F7" s="985"/>
      <c r="G7" s="985"/>
      <c r="H7" s="985"/>
      <c r="I7" s="985"/>
      <c r="J7" s="985"/>
      <c r="K7" s="986"/>
      <c r="M7" s="527"/>
      <c r="N7" s="529"/>
      <c r="O7" s="529"/>
      <c r="P7" s="529"/>
      <c r="Q7" s="529"/>
      <c r="R7" s="529"/>
      <c r="S7" s="529"/>
      <c r="T7" s="529"/>
      <c r="U7" s="529"/>
      <c r="V7" s="528"/>
    </row>
    <row r="8" spans="2:22" ht="16.149999999999999" thickBot="1">
      <c r="B8" s="987"/>
      <c r="C8" s="985"/>
      <c r="D8" s="985"/>
      <c r="E8" s="985"/>
      <c r="F8" s="985"/>
      <c r="G8" s="985"/>
      <c r="H8" s="985"/>
      <c r="I8" s="985"/>
      <c r="J8" s="985"/>
      <c r="K8" s="986"/>
      <c r="M8" s="527"/>
      <c r="N8" s="1019" t="s">
        <v>332</v>
      </c>
      <c r="O8" s="1020"/>
      <c r="P8" s="1020"/>
      <c r="Q8" s="1020"/>
      <c r="R8" s="1020"/>
      <c r="S8" s="1021"/>
      <c r="T8" s="169"/>
      <c r="U8" s="170" t="s">
        <v>304</v>
      </c>
      <c r="V8" s="528"/>
    </row>
    <row r="9" spans="2:22" ht="16.149999999999999" thickBot="1">
      <c r="B9" s="987"/>
      <c r="C9" s="985"/>
      <c r="D9" s="985"/>
      <c r="E9" s="985"/>
      <c r="F9" s="985"/>
      <c r="G9" s="985"/>
      <c r="H9" s="985"/>
      <c r="I9" s="985"/>
      <c r="J9" s="985"/>
      <c r="K9" s="986"/>
      <c r="M9" s="527"/>
      <c r="N9" s="529"/>
      <c r="O9" s="529"/>
      <c r="P9" s="529"/>
      <c r="Q9" s="529"/>
      <c r="R9" s="529"/>
      <c r="S9" s="529"/>
      <c r="T9" s="530"/>
      <c r="U9" s="529"/>
      <c r="V9" s="528"/>
    </row>
    <row r="10" spans="2:22" ht="16.149999999999999" thickBot="1">
      <c r="B10" s="987"/>
      <c r="C10" s="985"/>
      <c r="D10" s="985"/>
      <c r="E10" s="985"/>
      <c r="F10" s="985"/>
      <c r="G10" s="985"/>
      <c r="H10" s="985"/>
      <c r="I10" s="985"/>
      <c r="J10" s="985"/>
      <c r="K10" s="986"/>
      <c r="M10" s="527"/>
      <c r="N10" s="991" t="s">
        <v>333</v>
      </c>
      <c r="O10" s="991"/>
      <c r="P10" s="991"/>
      <c r="Q10" s="991"/>
      <c r="R10" s="991"/>
      <c r="S10" s="991"/>
      <c r="T10" s="541"/>
      <c r="U10" s="542" t="s">
        <v>323</v>
      </c>
      <c r="V10" s="528"/>
    </row>
    <row r="11" spans="2:22" ht="16.149999999999999" thickBot="1">
      <c r="B11" s="987"/>
      <c r="C11" s="985"/>
      <c r="D11" s="985"/>
      <c r="E11" s="985"/>
      <c r="F11" s="985"/>
      <c r="G11" s="985"/>
      <c r="H11" s="985"/>
      <c r="I11" s="985"/>
      <c r="J11" s="985"/>
      <c r="K11" s="986"/>
      <c r="M11" s="527"/>
      <c r="N11" s="991" t="s">
        <v>334</v>
      </c>
      <c r="O11" s="991"/>
      <c r="P11" s="991"/>
      <c r="Q11" s="991"/>
      <c r="R11" s="991"/>
      <c r="S11" s="991"/>
      <c r="T11" s="577">
        <f>150*T8*T10</f>
        <v>0</v>
      </c>
      <c r="U11" s="542" t="s">
        <v>335</v>
      </c>
      <c r="V11" s="528"/>
    </row>
    <row r="12" spans="2:22" ht="16.149999999999999" thickBot="1">
      <c r="B12" s="987"/>
      <c r="C12" s="985"/>
      <c r="D12" s="985"/>
      <c r="E12" s="985"/>
      <c r="F12" s="985"/>
      <c r="G12" s="985"/>
      <c r="H12" s="985"/>
      <c r="I12" s="985"/>
      <c r="J12" s="985"/>
      <c r="K12" s="986"/>
      <c r="M12" s="527"/>
      <c r="N12" s="991" t="s">
        <v>336</v>
      </c>
      <c r="O12" s="991"/>
      <c r="P12" s="991"/>
      <c r="Q12" s="991"/>
      <c r="R12" s="991"/>
      <c r="S12" s="991"/>
      <c r="T12" s="577" t="e">
        <f>T11/T8</f>
        <v>#DIV/0!</v>
      </c>
      <c r="U12" s="542" t="s">
        <v>337</v>
      </c>
      <c r="V12" s="528"/>
    </row>
    <row r="13" spans="2:22" ht="16.149999999999999" thickBot="1">
      <c r="B13" s="987"/>
      <c r="C13" s="985"/>
      <c r="D13" s="985"/>
      <c r="E13" s="985"/>
      <c r="F13" s="985"/>
      <c r="G13" s="985"/>
      <c r="H13" s="985"/>
      <c r="I13" s="985"/>
      <c r="J13" s="985"/>
      <c r="K13" s="986"/>
      <c r="M13" s="527"/>
      <c r="N13" s="531"/>
      <c r="O13" s="531"/>
      <c r="P13" s="531"/>
      <c r="Q13" s="531"/>
      <c r="R13" s="531"/>
      <c r="S13" s="531"/>
      <c r="T13" s="532"/>
      <c r="U13" s="531"/>
      <c r="V13" s="528"/>
    </row>
    <row r="14" spans="2:22" ht="16.149999999999999" thickBot="1">
      <c r="B14" s="987"/>
      <c r="C14" s="985"/>
      <c r="D14" s="985"/>
      <c r="E14" s="985"/>
      <c r="F14" s="985"/>
      <c r="G14" s="985"/>
      <c r="H14" s="985"/>
      <c r="I14" s="985"/>
      <c r="J14" s="985"/>
      <c r="K14" s="986"/>
      <c r="M14" s="527"/>
      <c r="N14" s="992" t="s">
        <v>338</v>
      </c>
      <c r="O14" s="992"/>
      <c r="P14" s="992"/>
      <c r="Q14" s="992"/>
      <c r="R14" s="992"/>
      <c r="S14" s="992"/>
      <c r="T14" s="543"/>
      <c r="U14" s="544" t="s">
        <v>323</v>
      </c>
      <c r="V14" s="528"/>
    </row>
    <row r="15" spans="2:22" ht="16.149999999999999" thickBot="1">
      <c r="B15" s="987"/>
      <c r="C15" s="985"/>
      <c r="D15" s="985"/>
      <c r="E15" s="985"/>
      <c r="F15" s="985"/>
      <c r="G15" s="985"/>
      <c r="H15" s="985"/>
      <c r="I15" s="985"/>
      <c r="J15" s="985"/>
      <c r="K15" s="986"/>
      <c r="M15" s="527"/>
      <c r="N15" s="992" t="s">
        <v>339</v>
      </c>
      <c r="O15" s="992"/>
      <c r="P15" s="992"/>
      <c r="Q15" s="992"/>
      <c r="R15" s="992"/>
      <c r="S15" s="992"/>
      <c r="T15" s="577">
        <f>T8*15*T14</f>
        <v>0</v>
      </c>
      <c r="U15" s="544" t="s">
        <v>335</v>
      </c>
      <c r="V15" s="528"/>
    </row>
    <row r="16" spans="2:22" ht="16.149999999999999" thickBot="1">
      <c r="B16" s="987"/>
      <c r="C16" s="985"/>
      <c r="D16" s="985"/>
      <c r="E16" s="985"/>
      <c r="F16" s="985"/>
      <c r="G16" s="985"/>
      <c r="H16" s="985"/>
      <c r="I16" s="985"/>
      <c r="J16" s="985"/>
      <c r="K16" s="986"/>
      <c r="M16" s="527"/>
      <c r="N16" s="992" t="s">
        <v>340</v>
      </c>
      <c r="O16" s="992"/>
      <c r="P16" s="992"/>
      <c r="Q16" s="992"/>
      <c r="R16" s="992"/>
      <c r="S16" s="992"/>
      <c r="T16" s="577" t="e">
        <f>T15/T8</f>
        <v>#DIV/0!</v>
      </c>
      <c r="U16" s="544" t="s">
        <v>337</v>
      </c>
      <c r="V16" s="528"/>
    </row>
    <row r="17" spans="2:22" ht="16.149999999999999" thickBot="1">
      <c r="B17" s="987"/>
      <c r="C17" s="985"/>
      <c r="D17" s="985"/>
      <c r="E17" s="985"/>
      <c r="F17" s="985"/>
      <c r="G17" s="985"/>
      <c r="H17" s="985"/>
      <c r="I17" s="985"/>
      <c r="J17" s="985"/>
      <c r="K17" s="986"/>
      <c r="M17" s="527"/>
      <c r="N17" s="531"/>
      <c r="O17" s="531"/>
      <c r="P17" s="531"/>
      <c r="Q17" s="531"/>
      <c r="R17" s="531"/>
      <c r="S17" s="531"/>
      <c r="T17" s="532"/>
      <c r="U17" s="531"/>
      <c r="V17" s="528"/>
    </row>
    <row r="18" spans="2:22" ht="16.149999999999999" thickBot="1">
      <c r="B18" s="987"/>
      <c r="C18" s="985"/>
      <c r="D18" s="985"/>
      <c r="E18" s="985"/>
      <c r="F18" s="985"/>
      <c r="G18" s="985"/>
      <c r="H18" s="985"/>
      <c r="I18" s="985"/>
      <c r="J18" s="985"/>
      <c r="K18" s="986"/>
      <c r="M18" s="527"/>
      <c r="N18" s="993" t="s">
        <v>341</v>
      </c>
      <c r="O18" s="993"/>
      <c r="P18" s="993"/>
      <c r="Q18" s="993"/>
      <c r="R18" s="993"/>
      <c r="S18" s="993"/>
      <c r="T18" s="578">
        <f>T10+T14</f>
        <v>0</v>
      </c>
      <c r="U18" s="545" t="s">
        <v>342</v>
      </c>
      <c r="V18" s="528"/>
    </row>
    <row r="19" spans="2:22" ht="16.149999999999999" thickBot="1">
      <c r="B19" s="987"/>
      <c r="C19" s="985"/>
      <c r="D19" s="985"/>
      <c r="E19" s="985"/>
      <c r="F19" s="985"/>
      <c r="G19" s="985"/>
      <c r="H19" s="985"/>
      <c r="I19" s="985"/>
      <c r="J19" s="985"/>
      <c r="K19" s="986"/>
      <c r="M19" s="527"/>
      <c r="N19" s="993" t="s">
        <v>343</v>
      </c>
      <c r="O19" s="993"/>
      <c r="P19" s="993"/>
      <c r="Q19" s="993"/>
      <c r="R19" s="993"/>
      <c r="S19" s="993"/>
      <c r="T19" s="578">
        <f>T11+T15</f>
        <v>0</v>
      </c>
      <c r="U19" s="544" t="s">
        <v>335</v>
      </c>
      <c r="V19" s="528"/>
    </row>
    <row r="20" spans="2:22" ht="16.149999999999999" thickBot="1">
      <c r="B20" s="987"/>
      <c r="C20" s="985"/>
      <c r="D20" s="985"/>
      <c r="E20" s="985"/>
      <c r="F20" s="985"/>
      <c r="G20" s="985"/>
      <c r="H20" s="985"/>
      <c r="I20" s="985"/>
      <c r="J20" s="985"/>
      <c r="K20" s="986"/>
      <c r="M20" s="527"/>
      <c r="N20" s="993" t="s">
        <v>344</v>
      </c>
      <c r="O20" s="993"/>
      <c r="P20" s="993"/>
      <c r="Q20" s="993"/>
      <c r="R20" s="993"/>
      <c r="S20" s="993"/>
      <c r="T20" s="569" t="e">
        <f>T19/T8</f>
        <v>#DIV/0!</v>
      </c>
      <c r="U20" s="546" t="s">
        <v>337</v>
      </c>
      <c r="V20" s="528"/>
    </row>
    <row r="21" spans="2:22" ht="16.149999999999999" thickBot="1">
      <c r="B21" s="987"/>
      <c r="C21" s="985"/>
      <c r="D21" s="985"/>
      <c r="E21" s="985"/>
      <c r="F21" s="985"/>
      <c r="G21" s="985"/>
      <c r="H21" s="985"/>
      <c r="I21" s="985"/>
      <c r="J21" s="985"/>
      <c r="K21" s="986"/>
      <c r="M21" s="537"/>
      <c r="N21" s="538"/>
      <c r="O21" s="538"/>
      <c r="P21" s="538"/>
      <c r="Q21" s="538"/>
      <c r="R21" s="539"/>
      <c r="S21" s="538"/>
      <c r="T21" s="539"/>
      <c r="U21" s="538"/>
      <c r="V21" s="540"/>
    </row>
    <row r="22" spans="2:22">
      <c r="B22" s="987"/>
      <c r="C22" s="985"/>
      <c r="D22" s="985"/>
      <c r="E22" s="985"/>
      <c r="F22" s="985"/>
      <c r="G22" s="985"/>
      <c r="H22" s="985"/>
      <c r="I22" s="985"/>
      <c r="J22" s="985"/>
      <c r="K22" s="986"/>
      <c r="R22" s="167"/>
      <c r="T22" s="167"/>
    </row>
    <row r="23" spans="2:22" ht="28.9">
      <c r="B23" s="987"/>
      <c r="C23" s="985"/>
      <c r="D23" s="985"/>
      <c r="E23" s="985"/>
      <c r="F23" s="985"/>
      <c r="G23" s="985"/>
      <c r="H23" s="985"/>
      <c r="I23" s="985"/>
      <c r="J23" s="985"/>
      <c r="K23" s="986"/>
      <c r="N23" s="206"/>
      <c r="O23" s="207"/>
      <c r="P23" s="207"/>
      <c r="Q23" s="207"/>
      <c r="R23" s="207"/>
      <c r="S23" s="207"/>
      <c r="T23" s="207"/>
      <c r="U23" s="207"/>
    </row>
    <row r="24" spans="2:22">
      <c r="B24" s="987"/>
      <c r="C24" s="985"/>
      <c r="D24" s="985"/>
      <c r="E24" s="985"/>
      <c r="F24" s="985"/>
      <c r="G24" s="985"/>
      <c r="H24" s="985"/>
      <c r="I24" s="985"/>
      <c r="J24" s="985"/>
      <c r="K24" s="986"/>
      <c r="R24" s="167"/>
      <c r="T24" s="167"/>
    </row>
    <row r="25" spans="2:22">
      <c r="B25" s="987"/>
      <c r="C25" s="985"/>
      <c r="D25" s="985"/>
      <c r="E25" s="985"/>
      <c r="F25" s="985"/>
      <c r="G25" s="985"/>
      <c r="H25" s="985"/>
      <c r="I25" s="985"/>
      <c r="J25" s="985"/>
      <c r="K25" s="986"/>
      <c r="N25" s="186"/>
      <c r="O25" s="186"/>
      <c r="P25" s="186"/>
      <c r="Q25" s="186"/>
      <c r="R25" s="186"/>
      <c r="S25" s="186"/>
      <c r="T25" s="185"/>
      <c r="U25" s="185"/>
    </row>
    <row r="26" spans="2:22" ht="16.149999999999999" thickBot="1">
      <c r="B26" s="988"/>
      <c r="C26" s="989"/>
      <c r="D26" s="989"/>
      <c r="E26" s="989"/>
      <c r="F26" s="989"/>
      <c r="G26" s="989"/>
      <c r="H26" s="989"/>
      <c r="I26" s="989"/>
      <c r="J26" s="989"/>
      <c r="K26" s="990"/>
      <c r="N26" s="186"/>
      <c r="O26" s="187"/>
      <c r="P26" s="188"/>
      <c r="R26" s="167"/>
      <c r="T26" s="167"/>
    </row>
    <row r="27" spans="2:22">
      <c r="N27" s="186"/>
      <c r="O27" s="187"/>
      <c r="P27" s="188"/>
      <c r="R27" s="167"/>
      <c r="T27" s="167"/>
    </row>
    <row r="28" spans="2:22" ht="16.149999999999999" thickBot="1">
      <c r="N28" s="202"/>
      <c r="O28" s="202"/>
      <c r="P28" s="202"/>
      <c r="Q28" s="202"/>
      <c r="R28" s="202"/>
      <c r="S28" s="202"/>
      <c r="T28" s="189"/>
      <c r="U28" s="185"/>
    </row>
    <row r="29" spans="2:22" ht="16.149999999999999" thickBot="1">
      <c r="B29" s="521"/>
      <c r="C29" s="522"/>
      <c r="D29" s="522"/>
      <c r="E29" s="523"/>
      <c r="F29" s="524"/>
      <c r="G29" s="525"/>
      <c r="H29" s="524"/>
      <c r="I29" s="525"/>
      <c r="J29" s="524"/>
      <c r="K29" s="526"/>
      <c r="M29" s="521"/>
      <c r="N29" s="522"/>
      <c r="O29" s="522"/>
      <c r="P29" s="524"/>
      <c r="Q29" s="524"/>
      <c r="R29" s="525"/>
      <c r="S29" s="524"/>
      <c r="T29" s="525"/>
      <c r="U29" s="524"/>
      <c r="V29" s="526"/>
    </row>
    <row r="30" spans="2:22" ht="14.25" customHeight="1">
      <c r="B30" s="535"/>
      <c r="C30" s="997" t="s">
        <v>345</v>
      </c>
      <c r="D30" s="998"/>
      <c r="E30" s="998"/>
      <c r="F30" s="998"/>
      <c r="G30" s="998"/>
      <c r="H30" s="998"/>
      <c r="I30" s="998"/>
      <c r="J30" s="999"/>
      <c r="K30" s="528"/>
      <c r="M30" s="535"/>
      <c r="N30" s="1003" t="s">
        <v>346</v>
      </c>
      <c r="O30" s="1004"/>
      <c r="P30" s="1004"/>
      <c r="Q30" s="1004"/>
      <c r="R30" s="1004"/>
      <c r="S30" s="1004"/>
      <c r="T30" s="1004"/>
      <c r="U30" s="1005"/>
      <c r="V30" s="528"/>
    </row>
    <row r="31" spans="2:22" ht="18.75" customHeight="1" thickBot="1">
      <c r="B31" s="527"/>
      <c r="C31" s="1000"/>
      <c r="D31" s="1001"/>
      <c r="E31" s="1001"/>
      <c r="F31" s="1001"/>
      <c r="G31" s="1001"/>
      <c r="H31" s="1001"/>
      <c r="I31" s="1001"/>
      <c r="J31" s="1002"/>
      <c r="K31" s="528"/>
      <c r="M31" s="527"/>
      <c r="N31" s="1006"/>
      <c r="O31" s="1007"/>
      <c r="P31" s="1007"/>
      <c r="Q31" s="1007"/>
      <c r="R31" s="1007"/>
      <c r="S31" s="1007"/>
      <c r="T31" s="1007"/>
      <c r="U31" s="1008"/>
      <c r="V31" s="528"/>
    </row>
    <row r="32" spans="2:22" ht="16.149999999999999" thickBot="1">
      <c r="B32" s="527"/>
      <c r="C32" s="529"/>
      <c r="D32" s="529"/>
      <c r="E32" s="529"/>
      <c r="F32" s="529"/>
      <c r="G32" s="529"/>
      <c r="H32" s="529"/>
      <c r="I32" s="529"/>
      <c r="J32" s="529"/>
      <c r="K32" s="528"/>
      <c r="M32" s="527"/>
      <c r="N32" s="529"/>
      <c r="O32" s="529"/>
      <c r="P32" s="529"/>
      <c r="Q32" s="529"/>
      <c r="R32" s="529"/>
      <c r="S32" s="529"/>
      <c r="T32" s="529"/>
      <c r="U32" s="529"/>
      <c r="V32" s="528"/>
    </row>
    <row r="33" spans="2:22" ht="16.149999999999999" thickBot="1">
      <c r="B33" s="527"/>
      <c r="C33" s="1009" t="s">
        <v>332</v>
      </c>
      <c r="D33" s="1009"/>
      <c r="E33" s="1009"/>
      <c r="F33" s="1009"/>
      <c r="G33" s="1009"/>
      <c r="H33" s="1009"/>
      <c r="I33" s="550">
        <f>T8</f>
        <v>0</v>
      </c>
      <c r="J33" s="542" t="s">
        <v>304</v>
      </c>
      <c r="K33" s="528"/>
      <c r="M33" s="527"/>
      <c r="N33" s="1009" t="s">
        <v>332</v>
      </c>
      <c r="O33" s="1009"/>
      <c r="P33" s="1009"/>
      <c r="Q33" s="1009"/>
      <c r="R33" s="1009"/>
      <c r="S33" s="1009"/>
      <c r="T33" s="550">
        <f>T8</f>
        <v>0</v>
      </c>
      <c r="U33" s="542" t="s">
        <v>304</v>
      </c>
      <c r="V33" s="528"/>
    </row>
    <row r="34" spans="2:22" ht="16.149999999999999" thickBot="1">
      <c r="B34" s="527"/>
      <c r="C34" s="529"/>
      <c r="D34" s="529"/>
      <c r="E34" s="529"/>
      <c r="F34" s="529"/>
      <c r="G34" s="529"/>
      <c r="H34" s="529"/>
      <c r="I34" s="530"/>
      <c r="J34" s="529"/>
      <c r="K34" s="528"/>
      <c r="M34" s="527"/>
      <c r="N34" s="529"/>
      <c r="O34" s="529"/>
      <c r="P34" s="529"/>
      <c r="Q34" s="529"/>
      <c r="R34" s="529"/>
      <c r="S34" s="529"/>
      <c r="T34" s="530"/>
      <c r="U34" s="529"/>
      <c r="V34" s="528"/>
    </row>
    <row r="35" spans="2:22" ht="16.149999999999999" thickBot="1">
      <c r="B35" s="527"/>
      <c r="C35" s="991" t="s">
        <v>347</v>
      </c>
      <c r="D35" s="991"/>
      <c r="E35" s="991"/>
      <c r="F35" s="991"/>
      <c r="G35" s="991"/>
      <c r="H35" s="991"/>
      <c r="I35" s="541"/>
      <c r="J35" s="542" t="s">
        <v>323</v>
      </c>
      <c r="K35" s="528"/>
      <c r="M35" s="527"/>
      <c r="N35" s="991" t="s">
        <v>347</v>
      </c>
      <c r="O35" s="991"/>
      <c r="P35" s="991"/>
      <c r="Q35" s="991"/>
      <c r="R35" s="991"/>
      <c r="S35" s="991"/>
      <c r="T35" s="541"/>
      <c r="U35" s="542" t="s">
        <v>323</v>
      </c>
      <c r="V35" s="528"/>
    </row>
    <row r="36" spans="2:22" ht="16.149999999999999" thickBot="1">
      <c r="B36" s="527"/>
      <c r="C36" s="991" t="s">
        <v>348</v>
      </c>
      <c r="D36" s="991"/>
      <c r="E36" s="991"/>
      <c r="F36" s="991"/>
      <c r="G36" s="991"/>
      <c r="H36" s="991"/>
      <c r="I36" s="577">
        <f>60*I33*I35</f>
        <v>0</v>
      </c>
      <c r="J36" s="542" t="s">
        <v>335</v>
      </c>
      <c r="K36" s="528"/>
      <c r="M36" s="527"/>
      <c r="N36" s="991" t="s">
        <v>348</v>
      </c>
      <c r="O36" s="991"/>
      <c r="P36" s="991"/>
      <c r="Q36" s="991"/>
      <c r="R36" s="991"/>
      <c r="S36" s="991"/>
      <c r="T36" s="577">
        <f>60*T33*T35</f>
        <v>0</v>
      </c>
      <c r="U36" s="542" t="s">
        <v>335</v>
      </c>
      <c r="V36" s="528"/>
    </row>
    <row r="37" spans="2:22" ht="16.149999999999999" thickBot="1">
      <c r="B37" s="527"/>
      <c r="C37" s="991" t="s">
        <v>349</v>
      </c>
      <c r="D37" s="991"/>
      <c r="E37" s="991"/>
      <c r="F37" s="991"/>
      <c r="G37" s="991"/>
      <c r="H37" s="991"/>
      <c r="I37" s="577" t="e">
        <f>I36/I33</f>
        <v>#DIV/0!</v>
      </c>
      <c r="J37" s="542" t="s">
        <v>337</v>
      </c>
      <c r="K37" s="528"/>
      <c r="M37" s="527"/>
      <c r="N37" s="991" t="s">
        <v>336</v>
      </c>
      <c r="O37" s="991"/>
      <c r="P37" s="991"/>
      <c r="Q37" s="991"/>
      <c r="R37" s="991"/>
      <c r="S37" s="991"/>
      <c r="T37" s="577" t="e">
        <f>T36/T33</f>
        <v>#DIV/0!</v>
      </c>
      <c r="U37" s="542" t="s">
        <v>337</v>
      </c>
      <c r="V37" s="528"/>
    </row>
    <row r="38" spans="2:22" ht="16.149999999999999" thickBot="1">
      <c r="B38" s="527"/>
      <c r="C38" s="531"/>
      <c r="D38" s="531"/>
      <c r="E38" s="531"/>
      <c r="F38" s="531"/>
      <c r="G38" s="531"/>
      <c r="H38" s="531"/>
      <c r="I38" s="532"/>
      <c r="J38" s="531"/>
      <c r="K38" s="528"/>
      <c r="M38" s="527"/>
      <c r="N38" s="531"/>
      <c r="O38" s="531"/>
      <c r="P38" s="531"/>
      <c r="Q38" s="531"/>
      <c r="R38" s="531"/>
      <c r="S38" s="531"/>
      <c r="T38" s="532"/>
      <c r="U38" s="531"/>
      <c r="V38" s="528"/>
    </row>
    <row r="39" spans="2:22" ht="16.149999999999999" thickBot="1">
      <c r="B39" s="527"/>
      <c r="C39" s="992" t="s">
        <v>350</v>
      </c>
      <c r="D39" s="992"/>
      <c r="E39" s="992"/>
      <c r="F39" s="992"/>
      <c r="G39" s="992"/>
      <c r="H39" s="992"/>
      <c r="I39" s="543"/>
      <c r="J39" s="544" t="s">
        <v>323</v>
      </c>
      <c r="K39" s="528"/>
      <c r="M39" s="527"/>
      <c r="N39" s="992" t="s">
        <v>350</v>
      </c>
      <c r="O39" s="992"/>
      <c r="P39" s="992"/>
      <c r="Q39" s="992"/>
      <c r="R39" s="992"/>
      <c r="S39" s="992"/>
      <c r="T39" s="543"/>
      <c r="U39" s="544" t="s">
        <v>323</v>
      </c>
      <c r="V39" s="528"/>
    </row>
    <row r="40" spans="2:22" ht="16.149999999999999" thickBot="1">
      <c r="B40" s="527"/>
      <c r="C40" s="992" t="s">
        <v>351</v>
      </c>
      <c r="D40" s="992"/>
      <c r="E40" s="992"/>
      <c r="F40" s="992"/>
      <c r="G40" s="992"/>
      <c r="H40" s="992"/>
      <c r="I40" s="577">
        <f>I33*6*I39</f>
        <v>0</v>
      </c>
      <c r="J40" s="544" t="s">
        <v>335</v>
      </c>
      <c r="K40" s="528"/>
      <c r="M40" s="527"/>
      <c r="N40" s="992" t="s">
        <v>351</v>
      </c>
      <c r="O40" s="992"/>
      <c r="P40" s="992"/>
      <c r="Q40" s="992"/>
      <c r="R40" s="992"/>
      <c r="S40" s="992"/>
      <c r="T40" s="577">
        <f>6*T33*T39</f>
        <v>0</v>
      </c>
      <c r="U40" s="544" t="s">
        <v>335</v>
      </c>
      <c r="V40" s="528"/>
    </row>
    <row r="41" spans="2:22" ht="16.149999999999999" thickBot="1">
      <c r="B41" s="527"/>
      <c r="C41" s="992" t="s">
        <v>352</v>
      </c>
      <c r="D41" s="992"/>
      <c r="E41" s="992"/>
      <c r="F41" s="992"/>
      <c r="G41" s="992"/>
      <c r="H41" s="992"/>
      <c r="I41" s="577" t="e">
        <f>I40/I33</f>
        <v>#DIV/0!</v>
      </c>
      <c r="J41" s="544" t="s">
        <v>337</v>
      </c>
      <c r="K41" s="528"/>
      <c r="M41" s="527"/>
      <c r="N41" s="992" t="s">
        <v>352</v>
      </c>
      <c r="O41" s="992"/>
      <c r="P41" s="992"/>
      <c r="Q41" s="992"/>
      <c r="R41" s="992"/>
      <c r="S41" s="992"/>
      <c r="T41" s="577" t="e">
        <f>T40/T33</f>
        <v>#DIV/0!</v>
      </c>
      <c r="U41" s="544" t="s">
        <v>337</v>
      </c>
      <c r="V41" s="528"/>
    </row>
    <row r="42" spans="2:22" ht="16.149999999999999" thickBot="1">
      <c r="B42" s="527"/>
      <c r="C42" s="531"/>
      <c r="D42" s="531"/>
      <c r="E42" s="531"/>
      <c r="F42" s="531"/>
      <c r="G42" s="531"/>
      <c r="H42" s="531"/>
      <c r="I42" s="532"/>
      <c r="J42" s="531"/>
      <c r="K42" s="528"/>
      <c r="M42" s="527"/>
      <c r="N42" s="531"/>
      <c r="O42" s="531"/>
      <c r="P42" s="531"/>
      <c r="Q42" s="531"/>
      <c r="R42" s="531"/>
      <c r="S42" s="531"/>
      <c r="T42" s="532"/>
      <c r="U42" s="531"/>
      <c r="V42" s="528"/>
    </row>
    <row r="43" spans="2:22" ht="16.149999999999999" thickBot="1">
      <c r="B43" s="527"/>
      <c r="C43" s="1010" t="s">
        <v>353</v>
      </c>
      <c r="D43" s="1010"/>
      <c r="E43" s="1010"/>
      <c r="F43" s="1010"/>
      <c r="G43" s="1010"/>
      <c r="H43" s="1010"/>
      <c r="I43" s="541"/>
      <c r="J43" s="542" t="s">
        <v>323</v>
      </c>
      <c r="K43" s="528"/>
      <c r="M43" s="527"/>
      <c r="N43" s="1010" t="s">
        <v>353</v>
      </c>
      <c r="O43" s="1010"/>
      <c r="P43" s="1010"/>
      <c r="Q43" s="1010"/>
      <c r="R43" s="1010"/>
      <c r="S43" s="1010"/>
      <c r="T43" s="541"/>
      <c r="U43" s="542" t="s">
        <v>323</v>
      </c>
      <c r="V43" s="528"/>
    </row>
    <row r="44" spans="2:22" ht="16.149999999999999" thickBot="1">
      <c r="B44" s="527"/>
      <c r="C44" s="1010" t="s">
        <v>354</v>
      </c>
      <c r="D44" s="1010"/>
      <c r="E44" s="1010"/>
      <c r="F44" s="1010"/>
      <c r="G44" s="1010"/>
      <c r="H44" s="1010"/>
      <c r="I44" s="577">
        <f>I33*12*I43</f>
        <v>0</v>
      </c>
      <c r="J44" s="542" t="s">
        <v>335</v>
      </c>
      <c r="K44" s="528"/>
      <c r="M44" s="527"/>
      <c r="N44" s="1010" t="s">
        <v>354</v>
      </c>
      <c r="O44" s="1010"/>
      <c r="P44" s="1010"/>
      <c r="Q44" s="1010"/>
      <c r="R44" s="1010"/>
      <c r="S44" s="1010"/>
      <c r="T44" s="577">
        <f>12*T33*T43</f>
        <v>0</v>
      </c>
      <c r="U44" s="542" t="s">
        <v>335</v>
      </c>
      <c r="V44" s="528"/>
    </row>
    <row r="45" spans="2:22" ht="16.149999999999999" thickBot="1">
      <c r="B45" s="527"/>
      <c r="C45" s="1010" t="s">
        <v>355</v>
      </c>
      <c r="D45" s="1010"/>
      <c r="E45" s="1010"/>
      <c r="F45" s="1010"/>
      <c r="G45" s="1010"/>
      <c r="H45" s="1010"/>
      <c r="I45" s="577" t="e">
        <f>I44/I33</f>
        <v>#DIV/0!</v>
      </c>
      <c r="J45" s="542" t="s">
        <v>337</v>
      </c>
      <c r="K45" s="528"/>
      <c r="M45" s="527"/>
      <c r="N45" s="1010" t="s">
        <v>355</v>
      </c>
      <c r="O45" s="1010"/>
      <c r="P45" s="1010"/>
      <c r="Q45" s="1010"/>
      <c r="R45" s="1010"/>
      <c r="S45" s="1010"/>
      <c r="T45" s="577" t="e">
        <f>T44/T33</f>
        <v>#DIV/0!</v>
      </c>
      <c r="U45" s="542" t="s">
        <v>337</v>
      </c>
      <c r="V45" s="528"/>
    </row>
    <row r="46" spans="2:22" ht="16.149999999999999" thickBot="1">
      <c r="B46" s="527"/>
      <c r="C46" s="531"/>
      <c r="D46" s="531"/>
      <c r="E46" s="531"/>
      <c r="F46" s="531"/>
      <c r="G46" s="531"/>
      <c r="H46" s="531"/>
      <c r="I46" s="532"/>
      <c r="J46" s="531"/>
      <c r="K46" s="528"/>
      <c r="M46" s="527"/>
      <c r="N46" s="531"/>
      <c r="O46" s="531"/>
      <c r="P46" s="531"/>
      <c r="Q46" s="531"/>
      <c r="R46" s="531"/>
      <c r="S46" s="531"/>
      <c r="T46" s="532"/>
      <c r="U46" s="531"/>
      <c r="V46" s="528"/>
    </row>
    <row r="47" spans="2:22" ht="16.149999999999999" thickBot="1">
      <c r="B47" s="527"/>
      <c r="C47" s="993" t="s">
        <v>341</v>
      </c>
      <c r="D47" s="993"/>
      <c r="E47" s="993"/>
      <c r="F47" s="993"/>
      <c r="G47" s="993"/>
      <c r="H47" s="993"/>
      <c r="I47" s="578">
        <f>I35+I39+I43</f>
        <v>0</v>
      </c>
      <c r="J47" s="579" t="s">
        <v>342</v>
      </c>
      <c r="K47" s="528"/>
      <c r="M47" s="527"/>
      <c r="N47" s="993" t="s">
        <v>341</v>
      </c>
      <c r="O47" s="993"/>
      <c r="P47" s="993"/>
      <c r="Q47" s="993"/>
      <c r="R47" s="993"/>
      <c r="S47" s="993"/>
      <c r="T47" s="578">
        <f>T35+T39+T43</f>
        <v>0</v>
      </c>
      <c r="U47" s="579" t="s">
        <v>342</v>
      </c>
      <c r="V47" s="528"/>
    </row>
    <row r="48" spans="2:22" ht="16.149999999999999" thickBot="1">
      <c r="B48" s="527"/>
      <c r="C48" s="993" t="s">
        <v>343</v>
      </c>
      <c r="D48" s="993"/>
      <c r="E48" s="993"/>
      <c r="F48" s="993"/>
      <c r="G48" s="993"/>
      <c r="H48" s="993"/>
      <c r="I48" s="578">
        <f>I36+I40+I44</f>
        <v>0</v>
      </c>
      <c r="J48" s="544" t="s">
        <v>335</v>
      </c>
      <c r="K48" s="528"/>
      <c r="M48" s="527"/>
      <c r="N48" s="993" t="s">
        <v>343</v>
      </c>
      <c r="O48" s="993"/>
      <c r="P48" s="993"/>
      <c r="Q48" s="993"/>
      <c r="R48" s="993"/>
      <c r="S48" s="993"/>
      <c r="T48" s="578">
        <f>T36+T40+T44</f>
        <v>0</v>
      </c>
      <c r="U48" s="544" t="s">
        <v>335</v>
      </c>
      <c r="V48" s="528"/>
    </row>
    <row r="49" spans="2:22" ht="16.149999999999999" thickBot="1">
      <c r="B49" s="527"/>
      <c r="C49" s="993" t="s">
        <v>344</v>
      </c>
      <c r="D49" s="993"/>
      <c r="E49" s="993"/>
      <c r="F49" s="993"/>
      <c r="G49" s="993"/>
      <c r="H49" s="993"/>
      <c r="I49" s="569" t="e">
        <f>I48/I33</f>
        <v>#DIV/0!</v>
      </c>
      <c r="J49" s="546" t="s">
        <v>337</v>
      </c>
      <c r="K49" s="528"/>
      <c r="M49" s="527"/>
      <c r="N49" s="993" t="s">
        <v>344</v>
      </c>
      <c r="O49" s="993"/>
      <c r="P49" s="993"/>
      <c r="Q49" s="993"/>
      <c r="R49" s="993"/>
      <c r="S49" s="993"/>
      <c r="T49" s="569" t="e">
        <f>T48/T33</f>
        <v>#DIV/0!</v>
      </c>
      <c r="U49" s="546" t="s">
        <v>337</v>
      </c>
      <c r="V49" s="528"/>
    </row>
    <row r="50" spans="2:22" ht="16.149999999999999" thickBot="1">
      <c r="B50" s="547"/>
      <c r="C50" s="548"/>
      <c r="D50" s="548"/>
      <c r="E50" s="548"/>
      <c r="F50" s="548"/>
      <c r="G50" s="548"/>
      <c r="H50" s="549"/>
      <c r="I50" s="533"/>
      <c r="J50" s="538"/>
      <c r="K50" s="534"/>
      <c r="M50" s="547"/>
      <c r="N50" s="548"/>
      <c r="O50" s="548"/>
      <c r="P50" s="548"/>
      <c r="Q50" s="548"/>
      <c r="R50" s="548"/>
      <c r="S50" s="549"/>
      <c r="T50" s="533"/>
      <c r="U50" s="538"/>
      <c r="V50" s="534"/>
    </row>
    <row r="52" spans="2:22" ht="16.149999999999999" thickBot="1"/>
    <row r="53" spans="2:22" ht="16.149999999999999" thickBot="1">
      <c r="B53" s="551"/>
      <c r="C53" s="524"/>
      <c r="D53" s="524"/>
      <c r="E53" s="524"/>
      <c r="F53" s="524"/>
      <c r="G53" s="524"/>
      <c r="H53" s="524"/>
      <c r="I53" s="524"/>
      <c r="J53" s="524"/>
      <c r="K53" s="526"/>
      <c r="R53" s="167"/>
      <c r="T53" s="167"/>
    </row>
    <row r="54" spans="2:22" ht="26.25" customHeight="1" thickBot="1">
      <c r="B54" s="552"/>
      <c r="C54" s="1015" t="s">
        <v>356</v>
      </c>
      <c r="D54" s="1016"/>
      <c r="E54" s="1016"/>
      <c r="F54" s="1016"/>
      <c r="G54" s="1016"/>
      <c r="H54" s="1016"/>
      <c r="I54" s="1016"/>
      <c r="J54" s="1017"/>
      <c r="K54" s="553"/>
      <c r="R54" s="167"/>
      <c r="T54" s="167"/>
    </row>
    <row r="55" spans="2:22" ht="18" customHeight="1" thickBot="1">
      <c r="B55" s="554"/>
      <c r="C55" s="536"/>
      <c r="D55" s="536"/>
      <c r="E55" s="536"/>
      <c r="F55" s="536"/>
      <c r="G55" s="536"/>
      <c r="H55" s="536"/>
      <c r="I55" s="536"/>
      <c r="J55" s="536"/>
      <c r="K55" s="555"/>
      <c r="N55" s="206"/>
      <c r="O55" s="207"/>
      <c r="P55" s="207"/>
      <c r="Q55" s="207"/>
      <c r="R55" s="207"/>
      <c r="S55" s="207"/>
      <c r="T55" s="207"/>
      <c r="U55" s="207"/>
    </row>
    <row r="56" spans="2:22" ht="16.149999999999999" thickBot="1">
      <c r="B56" s="554"/>
      <c r="C56" s="1018" t="s">
        <v>357</v>
      </c>
      <c r="D56" s="1018"/>
      <c r="E56" s="1018"/>
      <c r="F56" s="1018"/>
      <c r="G56" s="1018"/>
      <c r="H56" s="1018"/>
      <c r="I56" s="566">
        <f>T8</f>
        <v>0</v>
      </c>
      <c r="J56" s="566" t="s">
        <v>304</v>
      </c>
      <c r="K56" s="555"/>
      <c r="R56" s="167"/>
      <c r="T56" s="167"/>
    </row>
    <row r="57" spans="2:22" ht="16.149999999999999" thickBot="1">
      <c r="B57" s="554"/>
      <c r="C57" s="556"/>
      <c r="D57" s="557"/>
      <c r="E57" s="558"/>
      <c r="F57" s="536"/>
      <c r="G57" s="536"/>
      <c r="H57" s="536"/>
      <c r="I57" s="536"/>
      <c r="J57" s="536"/>
      <c r="K57" s="555"/>
      <c r="N57" s="186"/>
      <c r="O57" s="186"/>
      <c r="P57" s="186"/>
      <c r="Q57" s="186"/>
      <c r="R57" s="186"/>
      <c r="S57" s="186"/>
      <c r="T57" s="185"/>
      <c r="U57" s="185"/>
    </row>
    <row r="58" spans="2:22" ht="16.149999999999999" thickBot="1">
      <c r="B58" s="554"/>
      <c r="C58" s="1011" t="s">
        <v>358</v>
      </c>
      <c r="D58" s="1011"/>
      <c r="E58" s="1011"/>
      <c r="F58" s="1011"/>
      <c r="G58" s="1011"/>
      <c r="H58" s="1011"/>
      <c r="I58" s="567"/>
      <c r="J58" s="566" t="s">
        <v>323</v>
      </c>
      <c r="K58" s="555"/>
      <c r="N58" s="186"/>
      <c r="O58" s="187"/>
      <c r="P58" s="188"/>
      <c r="R58" s="167"/>
      <c r="T58" s="167"/>
    </row>
    <row r="59" spans="2:22" ht="16.149999999999999" thickBot="1">
      <c r="B59" s="554"/>
      <c r="C59" s="1011" t="s">
        <v>359</v>
      </c>
      <c r="D59" s="1011"/>
      <c r="E59" s="1011"/>
      <c r="F59" s="1011"/>
      <c r="G59" s="1011"/>
      <c r="H59" s="1011"/>
      <c r="I59" s="580">
        <f>150*I56*1</f>
        <v>0</v>
      </c>
      <c r="J59" s="568" t="s">
        <v>360</v>
      </c>
      <c r="K59" s="555"/>
      <c r="N59" s="186"/>
      <c r="O59" s="187"/>
      <c r="P59" s="188"/>
      <c r="R59" s="167"/>
      <c r="T59" s="167"/>
    </row>
    <row r="60" spans="2:22" ht="16.149999999999999" thickBot="1">
      <c r="B60" s="554"/>
      <c r="C60" s="1011" t="s">
        <v>361</v>
      </c>
      <c r="D60" s="1011"/>
      <c r="E60" s="1011"/>
      <c r="F60" s="1011"/>
      <c r="G60" s="1011"/>
      <c r="H60" s="1011"/>
      <c r="I60" s="580">
        <f>150*I56*I58</f>
        <v>0</v>
      </c>
      <c r="J60" s="568" t="s">
        <v>360</v>
      </c>
      <c r="K60" s="555"/>
      <c r="N60" s="202"/>
      <c r="O60" s="202"/>
      <c r="P60" s="202"/>
      <c r="Q60" s="202"/>
      <c r="R60" s="202"/>
      <c r="S60" s="202"/>
      <c r="T60" s="189"/>
      <c r="U60" s="185"/>
    </row>
    <row r="61" spans="2:22" ht="16.149999999999999" thickBot="1">
      <c r="B61" s="554"/>
      <c r="C61" s="556"/>
      <c r="D61" s="536"/>
      <c r="E61" s="536"/>
      <c r="F61" s="536"/>
      <c r="G61" s="536"/>
      <c r="H61" s="536"/>
      <c r="I61" s="559"/>
      <c r="J61" s="560"/>
      <c r="K61" s="555"/>
      <c r="N61" s="202"/>
      <c r="O61" s="202"/>
      <c r="P61" s="202"/>
      <c r="Q61" s="202"/>
      <c r="R61" s="202"/>
      <c r="S61" s="202"/>
      <c r="T61" s="190"/>
      <c r="U61" s="191"/>
    </row>
    <row r="62" spans="2:22" ht="16.149999999999999" thickBot="1">
      <c r="B62" s="554"/>
      <c r="C62" s="1012" t="s">
        <v>362</v>
      </c>
      <c r="D62" s="1012"/>
      <c r="E62" s="1012"/>
      <c r="F62" s="1012"/>
      <c r="G62" s="1012"/>
      <c r="H62" s="1012"/>
      <c r="I62" s="567"/>
      <c r="J62" s="566" t="s">
        <v>323</v>
      </c>
      <c r="K62" s="555"/>
      <c r="N62" s="186"/>
      <c r="R62" s="167"/>
      <c r="T62" s="189"/>
      <c r="U62" s="185"/>
    </row>
    <row r="63" spans="2:22" ht="16.149999999999999" thickBot="1">
      <c r="B63" s="554"/>
      <c r="C63" s="1013" t="s">
        <v>363</v>
      </c>
      <c r="D63" s="1013"/>
      <c r="E63" s="1013"/>
      <c r="F63" s="1013"/>
      <c r="G63" s="1013"/>
      <c r="H63" s="1013"/>
      <c r="I63" s="580">
        <f>50*I56</f>
        <v>0</v>
      </c>
      <c r="J63" s="568" t="s">
        <v>335</v>
      </c>
      <c r="K63" s="555"/>
      <c r="N63" s="203"/>
      <c r="O63" s="203"/>
      <c r="P63" s="203"/>
      <c r="Q63" s="203"/>
      <c r="R63" s="203"/>
      <c r="S63" s="203"/>
      <c r="T63" s="189"/>
      <c r="U63" s="185"/>
    </row>
    <row r="64" spans="2:22" ht="16.149999999999999" thickBot="1">
      <c r="B64" s="554"/>
      <c r="C64" s="1012" t="s">
        <v>364</v>
      </c>
      <c r="D64" s="1012"/>
      <c r="E64" s="1012"/>
      <c r="F64" s="1012"/>
      <c r="G64" s="1012"/>
      <c r="H64" s="1012"/>
      <c r="I64" s="581">
        <f>I63/4</f>
        <v>0</v>
      </c>
      <c r="J64" s="566" t="s">
        <v>365</v>
      </c>
      <c r="K64" s="555"/>
      <c r="N64" s="203"/>
      <c r="O64" s="203"/>
      <c r="P64" s="203"/>
      <c r="Q64" s="203"/>
      <c r="R64" s="203"/>
      <c r="S64" s="203"/>
      <c r="T64" s="190"/>
      <c r="U64" s="191"/>
    </row>
    <row r="65" spans="2:22" ht="16.149999999999999" thickBot="1">
      <c r="B65" s="554"/>
      <c r="C65" s="1012" t="s">
        <v>366</v>
      </c>
      <c r="D65" s="1012"/>
      <c r="E65" s="1012"/>
      <c r="F65" s="1012"/>
      <c r="G65" s="1012"/>
      <c r="H65" s="1012"/>
      <c r="I65" s="580">
        <f>I64*I62</f>
        <v>0</v>
      </c>
      <c r="J65" s="568" t="s">
        <v>335</v>
      </c>
      <c r="K65" s="555"/>
      <c r="N65" s="203"/>
      <c r="O65" s="203"/>
      <c r="P65" s="203"/>
      <c r="Q65" s="203"/>
      <c r="R65" s="203"/>
      <c r="S65" s="203"/>
      <c r="T65" s="192"/>
      <c r="U65" s="185"/>
    </row>
    <row r="66" spans="2:22" ht="16.149999999999999" thickBot="1">
      <c r="B66" s="554"/>
      <c r="C66" s="556"/>
      <c r="D66" s="536"/>
      <c r="E66" s="536"/>
      <c r="F66" s="536"/>
      <c r="G66" s="536"/>
      <c r="H66" s="536"/>
      <c r="I66" s="561"/>
      <c r="J66" s="560"/>
      <c r="K66" s="555"/>
      <c r="N66" s="203"/>
      <c r="O66" s="203"/>
      <c r="P66" s="203"/>
      <c r="Q66" s="203"/>
      <c r="R66" s="203"/>
      <c r="S66" s="203"/>
      <c r="T66" s="190"/>
      <c r="U66" s="193"/>
    </row>
    <row r="67" spans="2:22" ht="16.149999999999999" thickBot="1">
      <c r="B67" s="554"/>
      <c r="C67" s="1014" t="s">
        <v>367</v>
      </c>
      <c r="D67" s="1014"/>
      <c r="E67" s="1014"/>
      <c r="F67" s="1014"/>
      <c r="G67" s="1014"/>
      <c r="H67" s="1014"/>
      <c r="I67" s="567"/>
      <c r="J67" s="566" t="s">
        <v>323</v>
      </c>
      <c r="K67" s="555"/>
      <c r="N67" s="186"/>
      <c r="R67" s="167"/>
      <c r="T67" s="194"/>
      <c r="U67" s="185"/>
    </row>
    <row r="68" spans="2:22" ht="16.149999999999999" thickBot="1">
      <c r="B68" s="554"/>
      <c r="C68" s="1014" t="s">
        <v>368</v>
      </c>
      <c r="D68" s="1014"/>
      <c r="E68" s="1014"/>
      <c r="F68" s="1014"/>
      <c r="G68" s="1014"/>
      <c r="H68" s="1014"/>
      <c r="I68" s="580">
        <f>100*I56</f>
        <v>0</v>
      </c>
      <c r="J68" s="568" t="s">
        <v>335</v>
      </c>
      <c r="K68" s="555"/>
      <c r="N68" s="204"/>
      <c r="O68" s="204"/>
      <c r="P68" s="204"/>
      <c r="Q68" s="204"/>
      <c r="R68" s="204"/>
      <c r="S68" s="204"/>
      <c r="T68" s="189"/>
      <c r="U68" s="185"/>
    </row>
    <row r="69" spans="2:22" s="184" customFormat="1" ht="16.149999999999999" thickBot="1">
      <c r="B69" s="554"/>
      <c r="C69" s="1014" t="s">
        <v>369</v>
      </c>
      <c r="D69" s="1014"/>
      <c r="E69" s="1014"/>
      <c r="F69" s="1014"/>
      <c r="G69" s="1014"/>
      <c r="H69" s="1014"/>
      <c r="I69" s="581">
        <f>I68/16</f>
        <v>0</v>
      </c>
      <c r="J69" s="566" t="s">
        <v>365</v>
      </c>
      <c r="K69" s="555"/>
      <c r="M69" s="167"/>
      <c r="N69" s="204"/>
      <c r="O69" s="204"/>
      <c r="P69" s="204"/>
      <c r="Q69" s="204"/>
      <c r="R69" s="204"/>
      <c r="S69" s="204"/>
      <c r="T69" s="190"/>
      <c r="U69" s="191"/>
      <c r="V69" s="167"/>
    </row>
    <row r="70" spans="2:22" s="184" customFormat="1" ht="16.149999999999999" thickBot="1">
      <c r="B70" s="554"/>
      <c r="C70" s="1014" t="s">
        <v>370</v>
      </c>
      <c r="D70" s="1014"/>
      <c r="E70" s="1014"/>
      <c r="F70" s="1014"/>
      <c r="G70" s="1014"/>
      <c r="H70" s="1014"/>
      <c r="I70" s="580">
        <f>I69*I67</f>
        <v>0</v>
      </c>
      <c r="J70" s="568" t="s">
        <v>335</v>
      </c>
      <c r="K70" s="555"/>
      <c r="M70" s="167"/>
      <c r="N70" s="204"/>
      <c r="O70" s="204"/>
      <c r="P70" s="204"/>
      <c r="Q70" s="204"/>
      <c r="R70" s="204"/>
      <c r="S70" s="204"/>
      <c r="T70" s="192"/>
      <c r="U70" s="185"/>
      <c r="V70" s="167"/>
    </row>
    <row r="71" spans="2:22" s="184" customFormat="1" ht="16.149999999999999" thickBot="1">
      <c r="B71" s="554"/>
      <c r="C71" s="536"/>
      <c r="D71" s="536"/>
      <c r="E71" s="536"/>
      <c r="F71" s="536"/>
      <c r="G71" s="536"/>
      <c r="H71" s="536"/>
      <c r="I71" s="562"/>
      <c r="J71" s="563"/>
      <c r="K71" s="555"/>
      <c r="M71" s="167"/>
      <c r="N71" s="204"/>
      <c r="O71" s="204"/>
      <c r="P71" s="204"/>
      <c r="Q71" s="204"/>
      <c r="R71" s="204"/>
      <c r="S71" s="204"/>
      <c r="T71" s="190"/>
      <c r="U71" s="193"/>
      <c r="V71" s="167"/>
    </row>
    <row r="72" spans="2:22" s="184" customFormat="1" ht="16.149999999999999" thickBot="1">
      <c r="B72" s="554"/>
      <c r="C72" s="1123" t="s">
        <v>371</v>
      </c>
      <c r="D72" s="1123"/>
      <c r="E72" s="1123"/>
      <c r="F72" s="1123"/>
      <c r="G72" s="1123"/>
      <c r="H72" s="1123"/>
      <c r="I72" s="582">
        <f>I58+I62+I67</f>
        <v>0</v>
      </c>
      <c r="J72" s="579" t="s">
        <v>342</v>
      </c>
      <c r="K72" s="555"/>
      <c r="M72" s="167"/>
      <c r="N72" s="167"/>
      <c r="O72" s="167"/>
      <c r="P72" s="167"/>
      <c r="Q72" s="167"/>
      <c r="R72" s="167"/>
      <c r="S72" s="167"/>
      <c r="T72" s="195"/>
      <c r="U72" s="196"/>
      <c r="V72" s="167"/>
    </row>
    <row r="73" spans="2:22" s="184" customFormat="1" ht="16.149999999999999" thickBot="1">
      <c r="B73" s="554"/>
      <c r="C73" s="1123" t="s">
        <v>372</v>
      </c>
      <c r="D73" s="1123"/>
      <c r="E73" s="1123"/>
      <c r="F73" s="1123"/>
      <c r="G73" s="1123"/>
      <c r="H73" s="1123"/>
      <c r="I73" s="582">
        <f>I60+I65+I70</f>
        <v>0</v>
      </c>
      <c r="J73" s="569" t="s">
        <v>335</v>
      </c>
      <c r="K73" s="555"/>
      <c r="M73" s="167"/>
      <c r="N73" s="205"/>
      <c r="O73" s="205"/>
      <c r="P73" s="205"/>
      <c r="Q73" s="205"/>
      <c r="R73" s="205"/>
      <c r="S73" s="205"/>
      <c r="T73" s="197"/>
      <c r="U73" s="198"/>
      <c r="V73" s="167"/>
    </row>
    <row r="74" spans="2:22" s="184" customFormat="1" ht="16.149999999999999" thickBot="1">
      <c r="B74" s="554"/>
      <c r="C74" s="1123" t="s">
        <v>373</v>
      </c>
      <c r="D74" s="1123"/>
      <c r="E74" s="1123"/>
      <c r="F74" s="1123"/>
      <c r="G74" s="1123"/>
      <c r="H74" s="1123"/>
      <c r="I74" s="546" t="e">
        <f>I73/I56</f>
        <v>#DIV/0!</v>
      </c>
      <c r="J74" s="569" t="s">
        <v>337</v>
      </c>
      <c r="K74" s="555"/>
      <c r="M74" s="167"/>
      <c r="N74" s="205"/>
      <c r="O74" s="205"/>
      <c r="P74" s="205"/>
      <c r="Q74" s="205"/>
      <c r="R74" s="205"/>
      <c r="S74" s="205"/>
      <c r="T74" s="197"/>
      <c r="U74" s="199"/>
      <c r="V74" s="167"/>
    </row>
    <row r="75" spans="2:22" s="184" customFormat="1" ht="16.149999999999999" thickBot="1">
      <c r="B75" s="564"/>
      <c r="C75" s="549"/>
      <c r="D75" s="549"/>
      <c r="E75" s="549"/>
      <c r="F75" s="549"/>
      <c r="G75" s="549"/>
      <c r="H75" s="549"/>
      <c r="I75" s="549"/>
      <c r="J75" s="549"/>
      <c r="K75" s="565"/>
      <c r="M75" s="167"/>
      <c r="N75" s="205"/>
      <c r="O75" s="205"/>
      <c r="P75" s="205"/>
      <c r="Q75" s="205"/>
      <c r="R75" s="205"/>
      <c r="S75" s="205"/>
      <c r="T75" s="200"/>
      <c r="U75" s="201"/>
      <c r="V75" s="167"/>
    </row>
    <row r="76" spans="2:22" s="184" customFormat="1">
      <c r="M76" s="167"/>
      <c r="N76" s="167"/>
      <c r="O76" s="167"/>
      <c r="P76" s="167"/>
      <c r="Q76" s="167"/>
      <c r="R76" s="167"/>
      <c r="S76" s="167"/>
      <c r="T76" s="167"/>
      <c r="U76" s="167"/>
      <c r="V76" s="167"/>
    </row>
    <row r="77" spans="2:22" ht="16.149999999999999" thickBot="1"/>
    <row r="78" spans="2:22" ht="16.5" customHeight="1" thickBot="1">
      <c r="B78" s="1025" t="s">
        <v>374</v>
      </c>
      <c r="C78" s="1026"/>
      <c r="D78" s="1026"/>
      <c r="E78" s="1026"/>
      <c r="F78" s="1026"/>
      <c r="G78" s="1026"/>
      <c r="H78" s="1026"/>
      <c r="I78" s="1026"/>
      <c r="J78" s="1026"/>
      <c r="K78" s="1026"/>
      <c r="L78" s="1026"/>
      <c r="M78" s="1026"/>
      <c r="N78" s="1026"/>
      <c r="O78" s="1026"/>
      <c r="P78" s="1026"/>
      <c r="Q78" s="1026"/>
      <c r="R78" s="1027"/>
    </row>
    <row r="79" spans="2:22">
      <c r="B79" s="575"/>
      <c r="C79" s="570"/>
      <c r="D79" s="570"/>
      <c r="E79" s="570"/>
      <c r="F79" s="570"/>
      <c r="G79" s="570"/>
      <c r="H79" s="570"/>
      <c r="I79" s="570"/>
      <c r="J79" s="570"/>
      <c r="K79" s="570"/>
      <c r="L79" s="570"/>
      <c r="M79" s="570"/>
      <c r="N79" s="570"/>
      <c r="O79" s="570"/>
      <c r="P79" s="570"/>
      <c r="Q79" s="570"/>
      <c r="R79" s="576"/>
    </row>
    <row r="80" spans="2:22">
      <c r="B80" s="1022" t="s">
        <v>375</v>
      </c>
      <c r="C80" s="1023"/>
      <c r="D80" s="1023"/>
      <c r="E80" s="1023"/>
      <c r="F80" s="1023"/>
      <c r="G80" s="1023"/>
      <c r="H80" s="1023"/>
      <c r="I80" s="1023"/>
      <c r="J80" s="536"/>
      <c r="K80" s="1023" t="s">
        <v>376</v>
      </c>
      <c r="L80" s="1023"/>
      <c r="M80" s="1023"/>
      <c r="N80" s="1023"/>
      <c r="O80" s="1023"/>
      <c r="P80" s="1023"/>
      <c r="Q80" s="1023"/>
      <c r="R80" s="1024"/>
    </row>
    <row r="81" spans="2:18">
      <c r="B81" s="571"/>
      <c r="C81" s="556"/>
      <c r="D81" s="556"/>
      <c r="E81" s="556"/>
      <c r="F81" s="556"/>
      <c r="G81" s="556"/>
      <c r="H81" s="556"/>
      <c r="I81" s="556"/>
      <c r="J81" s="536"/>
      <c r="K81" s="536"/>
      <c r="L81" s="536"/>
      <c r="M81" s="536"/>
      <c r="N81" s="536"/>
      <c r="O81" s="536"/>
      <c r="P81" s="536"/>
      <c r="Q81" s="536"/>
      <c r="R81" s="572"/>
    </row>
    <row r="82" spans="2:18">
      <c r="B82" s="554"/>
      <c r="C82" s="536"/>
      <c r="D82" s="536"/>
      <c r="E82" s="536"/>
      <c r="F82" s="536"/>
      <c r="G82" s="536"/>
      <c r="H82" s="536"/>
      <c r="I82" s="536"/>
      <c r="J82" s="536"/>
      <c r="K82" s="536"/>
      <c r="L82" s="536"/>
      <c r="M82" s="536"/>
      <c r="N82" s="536"/>
      <c r="O82" s="536"/>
      <c r="P82" s="536"/>
      <c r="Q82" s="536"/>
      <c r="R82" s="572"/>
    </row>
    <row r="83" spans="2:18">
      <c r="B83" s="554"/>
      <c r="C83" s="536"/>
      <c r="D83" s="536"/>
      <c r="E83" s="536"/>
      <c r="F83" s="536"/>
      <c r="G83" s="536"/>
      <c r="H83" s="536"/>
      <c r="I83" s="536"/>
      <c r="J83" s="536"/>
      <c r="K83" s="536"/>
      <c r="L83" s="536"/>
      <c r="M83" s="536"/>
      <c r="N83" s="536"/>
      <c r="O83" s="536"/>
      <c r="P83" s="536"/>
      <c r="Q83" s="536"/>
      <c r="R83" s="572"/>
    </row>
    <row r="84" spans="2:18">
      <c r="B84" s="554"/>
      <c r="C84" s="536"/>
      <c r="D84" s="536"/>
      <c r="E84" s="536"/>
      <c r="F84" s="536"/>
      <c r="G84" s="536"/>
      <c r="H84" s="536"/>
      <c r="I84" s="536"/>
      <c r="J84" s="536"/>
      <c r="K84" s="536"/>
      <c r="L84" s="536"/>
      <c r="M84" s="536"/>
      <c r="N84" s="536"/>
      <c r="O84" s="536"/>
      <c r="P84" s="536"/>
      <c r="Q84" s="536"/>
      <c r="R84" s="572"/>
    </row>
    <row r="85" spans="2:18">
      <c r="B85" s="554"/>
      <c r="C85" s="536"/>
      <c r="D85" s="536"/>
      <c r="E85" s="536"/>
      <c r="F85" s="536"/>
      <c r="G85" s="536"/>
      <c r="H85" s="536"/>
      <c r="I85" s="536"/>
      <c r="J85" s="536"/>
      <c r="K85" s="536"/>
      <c r="L85" s="536"/>
      <c r="M85" s="536"/>
      <c r="N85" s="536"/>
      <c r="O85" s="536"/>
      <c r="P85" s="536"/>
      <c r="Q85" s="536"/>
      <c r="R85" s="572"/>
    </row>
    <row r="86" spans="2:18">
      <c r="B86" s="554"/>
      <c r="C86" s="536"/>
      <c r="D86" s="536"/>
      <c r="E86" s="536"/>
      <c r="F86" s="536"/>
      <c r="G86" s="536"/>
      <c r="H86" s="536"/>
      <c r="I86" s="536"/>
      <c r="J86" s="536"/>
      <c r="K86" s="536"/>
      <c r="L86" s="536"/>
      <c r="M86" s="536"/>
      <c r="N86" s="536"/>
      <c r="O86" s="536"/>
      <c r="P86" s="536"/>
      <c r="Q86" s="536"/>
      <c r="R86" s="572"/>
    </row>
    <row r="87" spans="2:18">
      <c r="B87" s="554"/>
      <c r="C87" s="536"/>
      <c r="D87" s="536"/>
      <c r="E87" s="536"/>
      <c r="F87" s="536"/>
      <c r="G87" s="536"/>
      <c r="H87" s="536"/>
      <c r="I87" s="536"/>
      <c r="J87" s="536"/>
      <c r="K87" s="536"/>
      <c r="L87" s="536"/>
      <c r="M87" s="536"/>
      <c r="N87" s="536"/>
      <c r="O87" s="536"/>
      <c r="P87" s="536"/>
      <c r="Q87" s="536"/>
      <c r="R87" s="572"/>
    </row>
    <row r="88" spans="2:18">
      <c r="B88" s="554"/>
      <c r="C88" s="536"/>
      <c r="D88" s="536"/>
      <c r="E88" s="536"/>
      <c r="F88" s="536"/>
      <c r="G88" s="536"/>
      <c r="H88" s="536"/>
      <c r="I88" s="536"/>
      <c r="J88" s="536"/>
      <c r="K88" s="536"/>
      <c r="L88" s="536"/>
      <c r="M88" s="536"/>
      <c r="N88" s="536"/>
      <c r="O88" s="536"/>
      <c r="P88" s="536"/>
      <c r="Q88" s="536"/>
      <c r="R88" s="572"/>
    </row>
    <row r="89" spans="2:18">
      <c r="B89" s="554"/>
      <c r="C89" s="536"/>
      <c r="D89" s="536"/>
      <c r="E89" s="536"/>
      <c r="F89" s="536"/>
      <c r="G89" s="536"/>
      <c r="H89" s="536"/>
      <c r="I89" s="536"/>
      <c r="J89" s="536"/>
      <c r="K89" s="536"/>
      <c r="L89" s="536"/>
      <c r="M89" s="536"/>
      <c r="N89" s="536"/>
      <c r="O89" s="536"/>
      <c r="P89" s="536"/>
      <c r="Q89" s="536"/>
      <c r="R89" s="572"/>
    </row>
    <row r="90" spans="2:18">
      <c r="B90" s="554"/>
      <c r="C90" s="536"/>
      <c r="D90" s="536"/>
      <c r="E90" s="536"/>
      <c r="F90" s="536"/>
      <c r="G90" s="536"/>
      <c r="H90" s="536"/>
      <c r="I90" s="536"/>
      <c r="J90" s="536"/>
      <c r="K90" s="536"/>
      <c r="L90" s="536"/>
      <c r="M90" s="536"/>
      <c r="N90" s="536"/>
      <c r="O90" s="536"/>
      <c r="P90" s="536"/>
      <c r="Q90" s="536"/>
      <c r="R90" s="572"/>
    </row>
    <row r="91" spans="2:18">
      <c r="B91" s="554"/>
      <c r="C91" s="536"/>
      <c r="D91" s="536"/>
      <c r="E91" s="536"/>
      <c r="F91" s="536"/>
      <c r="G91" s="536"/>
      <c r="H91" s="536"/>
      <c r="I91" s="536"/>
      <c r="J91" s="536"/>
      <c r="K91" s="536"/>
      <c r="L91" s="536"/>
      <c r="M91" s="536"/>
      <c r="N91" s="536"/>
      <c r="O91" s="536"/>
      <c r="P91" s="536"/>
      <c r="Q91" s="536"/>
      <c r="R91" s="572"/>
    </row>
    <row r="92" spans="2:18">
      <c r="B92" s="554"/>
      <c r="C92" s="536"/>
      <c r="D92" s="536"/>
      <c r="E92" s="536"/>
      <c r="F92" s="536"/>
      <c r="G92" s="536"/>
      <c r="H92" s="536"/>
      <c r="I92" s="536"/>
      <c r="J92" s="536"/>
      <c r="K92" s="536"/>
      <c r="L92" s="536"/>
      <c r="M92" s="536"/>
      <c r="N92" s="536"/>
      <c r="O92" s="536"/>
      <c r="P92" s="536"/>
      <c r="Q92" s="536"/>
      <c r="R92" s="572"/>
    </row>
    <row r="93" spans="2:18">
      <c r="B93" s="554"/>
      <c r="C93" s="536"/>
      <c r="D93" s="536"/>
      <c r="E93" s="536"/>
      <c r="F93" s="536"/>
      <c r="G93" s="536"/>
      <c r="H93" s="536"/>
      <c r="I93" s="536"/>
      <c r="J93" s="536"/>
      <c r="K93" s="536"/>
      <c r="L93" s="536"/>
      <c r="M93" s="536"/>
      <c r="N93" s="536"/>
      <c r="O93" s="536"/>
      <c r="P93" s="536"/>
      <c r="Q93" s="536"/>
      <c r="R93" s="572"/>
    </row>
    <row r="94" spans="2:18">
      <c r="B94" s="554"/>
      <c r="C94" s="536"/>
      <c r="D94" s="536"/>
      <c r="E94" s="536"/>
      <c r="F94" s="536"/>
      <c r="G94" s="536"/>
      <c r="H94" s="536"/>
      <c r="I94" s="536"/>
      <c r="J94" s="536"/>
      <c r="K94" s="536"/>
      <c r="L94" s="536"/>
      <c r="M94" s="536"/>
      <c r="N94" s="536"/>
      <c r="O94" s="536"/>
      <c r="P94" s="536"/>
      <c r="Q94" s="536"/>
      <c r="R94" s="572"/>
    </row>
    <row r="95" spans="2:18">
      <c r="B95" s="554"/>
      <c r="C95" s="536"/>
      <c r="D95" s="536"/>
      <c r="E95" s="536"/>
      <c r="F95" s="536"/>
      <c r="G95" s="536"/>
      <c r="H95" s="536"/>
      <c r="I95" s="536"/>
      <c r="J95" s="536"/>
      <c r="K95" s="536"/>
      <c r="L95" s="536"/>
      <c r="M95" s="536"/>
      <c r="N95" s="536"/>
      <c r="O95" s="536"/>
      <c r="P95" s="536"/>
      <c r="Q95" s="536"/>
      <c r="R95" s="572"/>
    </row>
    <row r="96" spans="2:18">
      <c r="B96" s="554"/>
      <c r="C96" s="536"/>
      <c r="D96" s="536"/>
      <c r="E96" s="536"/>
      <c r="F96" s="536"/>
      <c r="G96" s="536"/>
      <c r="H96" s="536"/>
      <c r="I96" s="536"/>
      <c r="J96" s="536"/>
      <c r="K96" s="536"/>
      <c r="L96" s="536"/>
      <c r="M96" s="536"/>
      <c r="N96" s="536"/>
      <c r="O96" s="536"/>
      <c r="P96" s="536"/>
      <c r="Q96" s="536"/>
      <c r="R96" s="572"/>
    </row>
    <row r="97" spans="2:18">
      <c r="B97" s="554"/>
      <c r="C97" s="536"/>
      <c r="D97" s="536"/>
      <c r="E97" s="536"/>
      <c r="F97" s="536"/>
      <c r="G97" s="536"/>
      <c r="H97" s="536"/>
      <c r="I97" s="536"/>
      <c r="J97" s="536"/>
      <c r="K97" s="536"/>
      <c r="L97" s="536"/>
      <c r="M97" s="536"/>
      <c r="N97" s="536"/>
      <c r="O97" s="536"/>
      <c r="P97" s="536"/>
      <c r="Q97" s="536"/>
      <c r="R97" s="572"/>
    </row>
    <row r="98" spans="2:18">
      <c r="B98" s="552"/>
      <c r="C98" s="536"/>
      <c r="D98" s="536"/>
      <c r="E98" s="536"/>
      <c r="F98" s="536"/>
      <c r="G98" s="536"/>
      <c r="H98" s="536"/>
      <c r="I98" s="536"/>
      <c r="J98" s="536"/>
      <c r="K98" s="536"/>
      <c r="L98" s="536"/>
      <c r="M98" s="536"/>
      <c r="N98" s="536"/>
      <c r="O98" s="536"/>
      <c r="P98" s="536"/>
      <c r="Q98" s="536"/>
      <c r="R98" s="572"/>
    </row>
    <row r="99" spans="2:18" ht="16.149999999999999" thickBot="1">
      <c r="B99" s="564"/>
      <c r="C99" s="573"/>
      <c r="D99" s="573"/>
      <c r="E99" s="573"/>
      <c r="F99" s="573"/>
      <c r="G99" s="573"/>
      <c r="H99" s="573"/>
      <c r="I99" s="573"/>
      <c r="J99" s="573"/>
      <c r="K99" s="573"/>
      <c r="L99" s="573"/>
      <c r="M99" s="573"/>
      <c r="N99" s="573"/>
      <c r="O99" s="573"/>
      <c r="P99" s="573"/>
      <c r="Q99" s="573"/>
      <c r="R99" s="574"/>
    </row>
  </sheetData>
  <sheetProtection algorithmName="SHA-512" hashValue="Qhii415eT2lXf+ZLsxEtDtQ8cTe2G/EeSJCB2jttIImbRet2i7DU01sekT/PShAgwG7Dj3DQbFxixGeab5q4vQ==" saltValue="FPoOnGkHeZYrLUUVUFd2iA==" spinCount="100000" sheet="1" objects="1" scenarios="1"/>
  <mergeCells count="61">
    <mergeCell ref="C68:H68"/>
    <mergeCell ref="C49:H49"/>
    <mergeCell ref="B80:I80"/>
    <mergeCell ref="K80:R80"/>
    <mergeCell ref="C69:H69"/>
    <mergeCell ref="C70:H70"/>
    <mergeCell ref="C72:H72"/>
    <mergeCell ref="C73:H73"/>
    <mergeCell ref="C74:H74"/>
    <mergeCell ref="B78:R78"/>
    <mergeCell ref="C62:H62"/>
    <mergeCell ref="C63:H63"/>
    <mergeCell ref="C64:H64"/>
    <mergeCell ref="C65:H65"/>
    <mergeCell ref="C67:H67"/>
    <mergeCell ref="C60:H60"/>
    <mergeCell ref="C44:H44"/>
    <mergeCell ref="N44:S44"/>
    <mergeCell ref="C45:H45"/>
    <mergeCell ref="N45:S45"/>
    <mergeCell ref="C47:H47"/>
    <mergeCell ref="N47:S47"/>
    <mergeCell ref="N49:S49"/>
    <mergeCell ref="C54:J54"/>
    <mergeCell ref="C56:H56"/>
    <mergeCell ref="C58:H58"/>
    <mergeCell ref="C59:H59"/>
    <mergeCell ref="C48:H48"/>
    <mergeCell ref="N48:S48"/>
    <mergeCell ref="C40:H40"/>
    <mergeCell ref="N40:S40"/>
    <mergeCell ref="C41:H41"/>
    <mergeCell ref="N41:S41"/>
    <mergeCell ref="C43:H43"/>
    <mergeCell ref="N43:S43"/>
    <mergeCell ref="C36:H36"/>
    <mergeCell ref="N36:S36"/>
    <mergeCell ref="C37:H37"/>
    <mergeCell ref="N37:S37"/>
    <mergeCell ref="C39:H39"/>
    <mergeCell ref="N39:S39"/>
    <mergeCell ref="C30:J31"/>
    <mergeCell ref="N30:U31"/>
    <mergeCell ref="C33:H33"/>
    <mergeCell ref="N33:S33"/>
    <mergeCell ref="C35:H35"/>
    <mergeCell ref="N35:S35"/>
    <mergeCell ref="F2:R2"/>
    <mergeCell ref="B5:K5"/>
    <mergeCell ref="B7:K26"/>
    <mergeCell ref="N11:S11"/>
    <mergeCell ref="N12:S12"/>
    <mergeCell ref="N15:S15"/>
    <mergeCell ref="N16:S16"/>
    <mergeCell ref="N19:S19"/>
    <mergeCell ref="N20:S20"/>
    <mergeCell ref="N6:U6"/>
    <mergeCell ref="N8:S8"/>
    <mergeCell ref="N10:S10"/>
    <mergeCell ref="N14:S14"/>
    <mergeCell ref="N18:S18"/>
  </mergeCells>
  <dataValidations count="1">
    <dataValidation type="decimal" allowBlank="1" showInputMessage="1" showErrorMessage="1" errorTitle="100kg Max" error="100kg maximum dosing weight" sqref="T33 T8 I33" xr:uid="{0D580A68-A0F6-4495-B1DA-FA0793AFE643}">
      <formula1>0</formula1>
      <formula2>100</formula2>
    </dataValidation>
  </dataValidation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tabColor rgb="FFFFC000"/>
  </sheetPr>
  <dimension ref="A2:N25"/>
  <sheetViews>
    <sheetView zoomScale="115" zoomScaleNormal="115" workbookViewId="0">
      <selection activeCell="E5" sqref="E5"/>
    </sheetView>
  </sheetViews>
  <sheetFormatPr defaultRowHeight="14.45"/>
  <cols>
    <col min="1" max="2" width="4.42578125" customWidth="1"/>
    <col min="3" max="3" width="21.140625" bestFit="1" customWidth="1"/>
    <col min="4" max="4" width="38.140625" customWidth="1"/>
    <col min="5" max="5" width="4.42578125" customWidth="1"/>
    <col min="7" max="7" width="4.42578125" customWidth="1"/>
    <col min="8" max="8" width="23.42578125" customWidth="1"/>
    <col min="9" max="9" width="17.28515625" customWidth="1"/>
    <col min="10" max="10" width="4.42578125" customWidth="1"/>
    <col min="11" max="11" width="7" customWidth="1"/>
    <col min="12" max="12" width="23.42578125" customWidth="1"/>
  </cols>
  <sheetData>
    <row r="2" spans="1:14" ht="15" thickBot="1"/>
    <row r="3" spans="1:14" ht="15" customHeight="1" thickBot="1">
      <c r="B3" s="587"/>
      <c r="C3" s="586"/>
      <c r="D3" s="588"/>
      <c r="E3" s="589"/>
      <c r="F3" s="25"/>
      <c r="G3" s="587"/>
      <c r="H3" s="598"/>
      <c r="I3" s="598"/>
      <c r="J3" s="599"/>
      <c r="L3" s="127" t="s">
        <v>377</v>
      </c>
    </row>
    <row r="4" spans="1:14" ht="15.75" customHeight="1" thickBot="1">
      <c r="B4" s="590"/>
      <c r="C4" s="1028" t="s">
        <v>378</v>
      </c>
      <c r="D4" s="1029"/>
      <c r="E4" s="591"/>
      <c r="F4" s="25"/>
      <c r="G4" s="590"/>
      <c r="H4" s="1030" t="s">
        <v>379</v>
      </c>
      <c r="I4" s="1031"/>
      <c r="J4" s="593"/>
      <c r="L4" s="128"/>
    </row>
    <row r="5" spans="1:14" ht="15" thickBot="1">
      <c r="B5" s="590"/>
      <c r="C5" s="486"/>
      <c r="D5" s="486"/>
      <c r="E5" s="592"/>
      <c r="F5" s="129"/>
      <c r="G5" s="590"/>
      <c r="H5" s="486"/>
      <c r="I5" s="486"/>
      <c r="J5" s="593"/>
      <c r="L5" s="130" t="s">
        <v>380</v>
      </c>
    </row>
    <row r="6" spans="1:14" ht="15" thickBot="1">
      <c r="B6" s="590"/>
      <c r="C6" s="600" t="s">
        <v>381</v>
      </c>
      <c r="D6" s="63"/>
      <c r="E6" s="593"/>
      <c r="G6" s="590"/>
      <c r="H6" s="600" t="s">
        <v>382</v>
      </c>
      <c r="I6" s="602"/>
      <c r="J6" s="593"/>
      <c r="L6" s="131"/>
    </row>
    <row r="7" spans="1:14" ht="16.149999999999999" thickBot="1">
      <c r="B7" s="590"/>
      <c r="C7" s="600" t="s">
        <v>383</v>
      </c>
      <c r="D7" s="43"/>
      <c r="E7" s="594"/>
      <c r="F7" s="131"/>
      <c r="G7" s="590"/>
      <c r="H7" s="600" t="s">
        <v>384</v>
      </c>
      <c r="I7" s="43"/>
      <c r="J7" s="593"/>
      <c r="L7" s="132" t="s">
        <v>385</v>
      </c>
    </row>
    <row r="8" spans="1:14" ht="16.149999999999999" thickBot="1">
      <c r="B8" s="590"/>
      <c r="C8" s="600" t="s">
        <v>386</v>
      </c>
      <c r="D8" s="43"/>
      <c r="E8" s="594"/>
      <c r="F8" s="131"/>
      <c r="G8" s="590"/>
      <c r="H8" s="600" t="s">
        <v>387</v>
      </c>
      <c r="I8" s="43"/>
      <c r="J8" s="593"/>
    </row>
    <row r="9" spans="1:14" ht="16.149999999999999" thickBot="1">
      <c r="B9" s="590"/>
      <c r="C9" s="600" t="s">
        <v>388</v>
      </c>
      <c r="D9" s="601" t="b">
        <f>IF(AND(D6&lt;7.35,D7&gt;45,D8&gt;26),"Partially Compensated Respiratory Acidosis",IF(AND(D6&lt;7.35,D7&gt;45,D8&lt;=26,D8&gt;=22),"Uncompensated Respiratory Acidosis",IF(AND(D6&lt;7.35,D7&gt;45,D8&lt;22),"Mixed Acidosis",IF(AND(D6&lt;7.35,D7&lt;=45,D7&gt;=35,D8&lt;=22),"Uncompensated Metabolic Acidosis",IF(AND(D6&lt;7.35,D6&gt;1,D7&lt;35,D8&lt;22),"Partially Compensated Metabolic Acidosis",IF(AND(D6&gt;7.45,D7&gt;45,D8&gt;26),"Partially Compensated Metabolic Alkalosis",IF(AND(D6&gt;7.45,D7&lt;=45,D7&gt;=35,D8&gt;26),"Uncompensated Metabolic Alkalosis",IF(AND(D6&gt;7.45,D7&lt;35,D8&gt;26),"Mixed Alkalosis",IF(AND(D6&gt;7.45,D7&lt;35,D8&lt;=26,D8&gt;=22),"Uncompensated Respiratory Alkalosis",IF(AND(D6&gt;7.45,D7&lt;35,D8&lt;22),"Partially Compensated Respiratory Alkalosis",IF(AND(D6&lt;=7.4,D6&gt;=7.35,D7&gt;45,D8&gt;26),"Compensated Respiratory Acidosis",IF(AND(D6&gt;=7.35,D6&lt;=7.4,D7&lt;35,D8&lt;22),"Compensated Metabolic Acidosis",IF(AND(D6&lt;=7.45,D6&gt;=7.4,D7&lt;35,D8&lt;22),"Compensated Respiratory Alkalosis",IF(AND(D6&lt;=7.45,D6&gt;=7.4,D7&gt;45,D8&gt;26),"Compensated Metabolic Alkalosis",(IF(AND(D6&lt;=7.45,D6&gt;=7.35,D7&lt;=45,D7&gt;=35,D8&lt;=28,D8&gt;=21),"Normal",IF(D6="",OR(D7="",OR(D8=""),"", ""))))))))))))))))))</f>
        <v>1</v>
      </c>
      <c r="E9" s="593"/>
      <c r="F9" s="131"/>
      <c r="G9" s="590"/>
      <c r="H9" s="600" t="s">
        <v>389</v>
      </c>
      <c r="I9" s="43"/>
      <c r="J9" s="593"/>
      <c r="L9" s="1032" t="s">
        <v>390</v>
      </c>
      <c r="M9" s="1033"/>
      <c r="N9" s="1034"/>
    </row>
    <row r="10" spans="1:14" ht="15" thickBot="1">
      <c r="B10" s="595"/>
      <c r="C10" s="596"/>
      <c r="D10" s="596"/>
      <c r="E10" s="597"/>
      <c r="G10" s="590"/>
      <c r="H10" s="600" t="s">
        <v>391</v>
      </c>
      <c r="I10" s="43"/>
      <c r="J10" s="593"/>
    </row>
    <row r="11" spans="1:14" ht="15" thickBot="1">
      <c r="G11" s="590"/>
      <c r="H11" s="600" t="s">
        <v>392</v>
      </c>
      <c r="I11" s="43"/>
      <c r="J11" s="593"/>
    </row>
    <row r="12" spans="1:14" ht="15" thickBot="1">
      <c r="G12" s="590"/>
      <c r="H12" s="600" t="s">
        <v>93</v>
      </c>
      <c r="I12" s="43"/>
      <c r="J12" s="593"/>
    </row>
    <row r="13" spans="1:14" ht="15" thickBot="1">
      <c r="G13" s="590"/>
      <c r="H13" s="600" t="s">
        <v>393</v>
      </c>
      <c r="I13" s="603">
        <f>I12*1.25</f>
        <v>0</v>
      </c>
      <c r="J13" s="593"/>
      <c r="L13" s="1035" t="s">
        <v>394</v>
      </c>
      <c r="M13" s="1036"/>
      <c r="N13" s="1037"/>
    </row>
    <row r="14" spans="1:14" ht="15" thickBot="1">
      <c r="G14" s="590"/>
      <c r="H14" s="600" t="s">
        <v>395</v>
      </c>
      <c r="I14" s="604">
        <f>I7-I8-I9</f>
        <v>0</v>
      </c>
      <c r="J14" s="593"/>
      <c r="L14" s="1038"/>
      <c r="M14" s="1039"/>
      <c r="N14" s="1040"/>
    </row>
    <row r="15" spans="1:14" ht="19.149999999999999" customHeight="1" thickBot="1">
      <c r="G15" s="590"/>
      <c r="H15" s="600" t="s">
        <v>396</v>
      </c>
      <c r="I15" s="603">
        <f>I7*2+I10+I11+I13</f>
        <v>0</v>
      </c>
      <c r="J15" s="593"/>
      <c r="L15" s="1041"/>
      <c r="M15" s="1042"/>
      <c r="N15" s="1043"/>
    </row>
    <row r="16" spans="1:14" ht="15" customHeight="1" thickBot="1">
      <c r="A16" s="133"/>
      <c r="G16" s="590"/>
      <c r="H16" s="600" t="s">
        <v>397</v>
      </c>
      <c r="I16" s="605">
        <f>I6-I15</f>
        <v>0</v>
      </c>
      <c r="J16" s="593"/>
    </row>
    <row r="17" spans="2:10" ht="15" thickBot="1">
      <c r="G17" s="595"/>
      <c r="H17" s="596"/>
      <c r="I17" s="596"/>
      <c r="J17" s="597"/>
    </row>
    <row r="24" spans="2:10" ht="15" thickBot="1"/>
    <row r="25" spans="2:10" ht="15" thickBot="1">
      <c r="B25" s="583" t="s">
        <v>398</v>
      </c>
      <c r="C25" s="584"/>
      <c r="D25" s="584"/>
      <c r="E25" s="585"/>
    </row>
  </sheetData>
  <sheetProtection algorithmName="SHA-512" hashValue="BT4DH02M1Bo7RFqftsm34o61ZtJ3vMQo8xTZIcrFuGxUNgdqUWZs0Gq3X7LgaUKSU8GR7muvp7b0xICDLJTZwA==" saltValue="wBDebB6lY6NWNsiiFYFERA==" spinCount="100000" sheet="1" selectLockedCells="1"/>
  <mergeCells count="4">
    <mergeCell ref="C4:D4"/>
    <mergeCell ref="H4:I4"/>
    <mergeCell ref="L9:N9"/>
    <mergeCell ref="L13:N15"/>
  </mergeCells>
  <conditionalFormatting sqref="I14">
    <cfRule type="cellIs" dxfId="3" priority="1" operator="lessThanOrEqual">
      <formula>14</formula>
    </cfRule>
    <cfRule type="cellIs" dxfId="2" priority="2" operator="greaterThanOrEqual">
      <formula>14.1</formula>
    </cfRule>
  </conditionalFormatting>
  <conditionalFormatting sqref="I16">
    <cfRule type="cellIs" dxfId="1" priority="3" operator="greaterThanOrEqual">
      <formula>10.1</formula>
    </cfRule>
    <cfRule type="cellIs" dxfId="0" priority="4" operator="lessThanOrEqual">
      <formula>10</formula>
    </cfRule>
  </conditionalFormatting>
  <hyperlinks>
    <hyperlink ref="B25" r:id="rId1" xr:uid="{00000000-0004-0000-2100-000000000000}"/>
  </hyperlinks>
  <pageMargins left="0.7" right="0.7" top="0.75" bottom="0.75" header="0.3" footer="0.3"/>
  <pageSetup orientation="portrait"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tabColor rgb="FFFFC000"/>
  </sheetPr>
  <dimension ref="A1:S62"/>
  <sheetViews>
    <sheetView tabSelected="1" topLeftCell="A3" workbookViewId="0">
      <selection activeCell="R20" sqref="R20"/>
    </sheetView>
  </sheetViews>
  <sheetFormatPr defaultRowHeight="14.45"/>
  <cols>
    <col min="2" max="2" width="4.42578125" customWidth="1"/>
    <col min="3" max="3" width="14.85546875" customWidth="1"/>
    <col min="4" max="4" width="12.140625" bestFit="1" customWidth="1"/>
    <col min="5" max="5" width="13.28515625" bestFit="1" customWidth="1"/>
    <col min="6" max="6" width="12.7109375" customWidth="1"/>
    <col min="7" max="7" width="4.42578125" customWidth="1"/>
    <col min="9" max="9" width="4.42578125" customWidth="1"/>
    <col min="10" max="10" width="19.7109375" customWidth="1"/>
    <col min="11" max="11" width="14.85546875" customWidth="1"/>
    <col min="12" max="12" width="13.28515625" bestFit="1" customWidth="1"/>
    <col min="13" max="13" width="12.7109375" customWidth="1"/>
    <col min="14" max="14" width="4.42578125" customWidth="1"/>
    <col min="17" max="17" width="10.85546875" customWidth="1"/>
    <col min="20" max="20" width="8.85546875" customWidth="1"/>
  </cols>
  <sheetData>
    <row r="1" spans="2:17" ht="15" thickBot="1"/>
    <row r="2" spans="2:17" ht="18.600000000000001" thickBot="1">
      <c r="D2" s="1046" t="s">
        <v>399</v>
      </c>
      <c r="E2" s="1047"/>
      <c r="F2" s="1047"/>
      <c r="G2" s="1047"/>
      <c r="H2" s="1047"/>
      <c r="I2" s="1047"/>
      <c r="J2" s="1047"/>
      <c r="K2" s="1047"/>
      <c r="L2" s="1048"/>
      <c r="M2" s="34"/>
    </row>
    <row r="3" spans="2:17" ht="15" thickBot="1"/>
    <row r="4" spans="2:17" ht="15" thickBot="1">
      <c r="B4" s="15"/>
      <c r="C4" s="22"/>
      <c r="D4" s="22"/>
      <c r="E4" s="22"/>
      <c r="F4" s="22"/>
      <c r="G4" s="16"/>
      <c r="I4" s="15"/>
      <c r="J4" s="22"/>
      <c r="K4" s="22"/>
      <c r="L4" s="22"/>
      <c r="M4" s="22"/>
      <c r="N4" s="16"/>
      <c r="P4" s="1028" t="s">
        <v>400</v>
      </c>
      <c r="Q4" s="1029"/>
    </row>
    <row r="5" spans="2:17" ht="15" thickBot="1">
      <c r="B5" s="17"/>
      <c r="C5" s="1044" t="s">
        <v>324</v>
      </c>
      <c r="D5" s="1044"/>
      <c r="E5" s="1044"/>
      <c r="F5" s="1044"/>
      <c r="G5" s="18"/>
      <c r="I5" s="17"/>
      <c r="J5" s="1045" t="s">
        <v>401</v>
      </c>
      <c r="K5" s="1045"/>
      <c r="L5" s="1045"/>
      <c r="M5" s="1045"/>
      <c r="N5" s="18"/>
      <c r="P5" s="607" t="s">
        <v>402</v>
      </c>
      <c r="Q5" s="608"/>
    </row>
    <row r="6" spans="2:17" ht="15" thickBot="1">
      <c r="B6" s="17"/>
      <c r="C6" s="68" t="s">
        <v>325</v>
      </c>
      <c r="D6" s="68" t="s">
        <v>187</v>
      </c>
      <c r="E6" s="68" t="s">
        <v>188</v>
      </c>
      <c r="F6" s="69" t="s">
        <v>189</v>
      </c>
      <c r="G6" s="18"/>
      <c r="I6" s="17"/>
      <c r="J6" s="70" t="s">
        <v>403</v>
      </c>
      <c r="K6" s="70" t="s">
        <v>187</v>
      </c>
      <c r="L6" s="70" t="s">
        <v>188</v>
      </c>
      <c r="M6" s="71" t="s">
        <v>189</v>
      </c>
      <c r="N6" s="18"/>
      <c r="P6" s="609" t="s">
        <v>404</v>
      </c>
      <c r="Q6" s="610"/>
    </row>
    <row r="7" spans="2:17" ht="15" thickBot="1">
      <c r="B7" s="17"/>
      <c r="C7" s="65"/>
      <c r="D7" s="66" t="s">
        <v>326</v>
      </c>
      <c r="E7" s="66" t="s">
        <v>321</v>
      </c>
      <c r="F7" s="67">
        <f>IF(AND(D7="mg/L",E7="µmol/L"),C7*6.616,IF(AND(D7="µmol/L",E7="mg/L"),C7/6.616))</f>
        <v>0</v>
      </c>
      <c r="G7" s="18"/>
      <c r="I7" s="17"/>
      <c r="J7" s="109"/>
      <c r="K7" s="110" t="s">
        <v>326</v>
      </c>
      <c r="L7" s="110" t="s">
        <v>321</v>
      </c>
      <c r="M7" s="111">
        <f>IF(AND(K7="mg/L",L7="µmol/L"),J7*0.0724/10,IF(AND(K7="µmol/L",L7="mg/L"),J7/0.0724*10,IF(AND(K7="µmol/L",L7="mg/dL"),J7/0.0724, IF(AND(K7="mg/L",L7="mg/dL"),J7/10,IF(AND(K7="mg/DL",L7="mg/L"),J7*10, IF(AND(K7="mg/dL",L7="µmol/L"),J7*0.0724,""))))))</f>
        <v>0</v>
      </c>
      <c r="N7" s="18"/>
    </row>
    <row r="8" spans="2:17" ht="15.75" customHeight="1" thickBot="1">
      <c r="B8" s="17"/>
      <c r="C8" s="1077" t="s">
        <v>405</v>
      </c>
      <c r="D8" s="1078"/>
      <c r="E8" s="1078"/>
      <c r="F8" s="1079"/>
      <c r="G8" s="18"/>
      <c r="I8" s="17"/>
      <c r="J8" s="1064" t="s">
        <v>406</v>
      </c>
      <c r="K8" s="1065"/>
      <c r="L8" s="1065"/>
      <c r="M8" s="1065"/>
      <c r="N8" s="112"/>
    </row>
    <row r="9" spans="2:17" ht="15" thickBot="1">
      <c r="B9" s="19"/>
      <c r="C9" s="26"/>
      <c r="D9" s="26"/>
      <c r="E9" s="20"/>
      <c r="F9" s="20"/>
      <c r="G9" s="21"/>
      <c r="I9" s="19"/>
      <c r="J9" s="26"/>
      <c r="K9" s="26"/>
      <c r="L9" s="20"/>
      <c r="M9" s="20"/>
      <c r="N9" s="21"/>
    </row>
    <row r="10" spans="2:17" ht="15" thickBot="1"/>
    <row r="11" spans="2:17" ht="15" thickBot="1">
      <c r="B11" s="15"/>
      <c r="C11" s="22"/>
      <c r="D11" s="22"/>
      <c r="E11" s="22"/>
      <c r="F11" s="22"/>
      <c r="G11" s="16"/>
      <c r="I11" s="15"/>
      <c r="J11" s="22"/>
      <c r="K11" s="22"/>
      <c r="L11" s="22"/>
      <c r="M11" s="22"/>
      <c r="N11" s="16"/>
    </row>
    <row r="12" spans="2:17" ht="15" thickBot="1">
      <c r="B12" s="17"/>
      <c r="C12" s="1085" t="s">
        <v>407</v>
      </c>
      <c r="D12" s="1086"/>
      <c r="E12" s="1086"/>
      <c r="F12" s="1087"/>
      <c r="G12" s="18"/>
      <c r="I12" s="17"/>
      <c r="J12" s="1058" t="s">
        <v>408</v>
      </c>
      <c r="K12" s="1059"/>
      <c r="L12" s="1059"/>
      <c r="M12" s="1060"/>
      <c r="N12" s="18"/>
    </row>
    <row r="13" spans="2:17" ht="29.45" thickBot="1">
      <c r="B13" s="107"/>
      <c r="C13" s="139" t="s">
        <v>409</v>
      </c>
      <c r="D13" s="121" t="s">
        <v>187</v>
      </c>
      <c r="E13" s="122" t="s">
        <v>188</v>
      </c>
      <c r="F13" s="123" t="s">
        <v>189</v>
      </c>
      <c r="G13" s="108"/>
      <c r="I13" s="107"/>
      <c r="J13" s="140" t="s">
        <v>410</v>
      </c>
      <c r="K13" s="141" t="s">
        <v>187</v>
      </c>
      <c r="L13" s="141" t="s">
        <v>188</v>
      </c>
      <c r="M13" s="119" t="s">
        <v>189</v>
      </c>
      <c r="N13" s="108"/>
    </row>
    <row r="14" spans="2:17" ht="15" thickBot="1">
      <c r="B14" s="17"/>
      <c r="C14" s="114"/>
      <c r="D14" s="115" t="s">
        <v>326</v>
      </c>
      <c r="E14" s="116" t="s">
        <v>321</v>
      </c>
      <c r="F14" s="113">
        <f>IF(AND(D14="mg/L",E14="µmol/L"),C14*4.233,IF(AND(D14="µmol/L",E14="mg/L"),C14/4.233))</f>
        <v>0</v>
      </c>
      <c r="G14" s="18"/>
      <c r="I14" s="17"/>
      <c r="J14" s="63"/>
      <c r="K14" s="43" t="s">
        <v>326</v>
      </c>
      <c r="L14" s="118" t="s">
        <v>321</v>
      </c>
      <c r="M14" s="120">
        <f>IF(AND(K14="mg/L",L14="µmol/L"),J14*3.964,IF(AND(K14="µmol/L",L14="mg/L"),J14/3.964))</f>
        <v>0</v>
      </c>
      <c r="N14" s="117"/>
    </row>
    <row r="15" spans="2:17" ht="15.75" customHeight="1" thickBot="1">
      <c r="B15" s="17"/>
      <c r="C15" s="1080" t="s">
        <v>411</v>
      </c>
      <c r="D15" s="1081"/>
      <c r="E15" s="1081"/>
      <c r="F15" s="1082"/>
      <c r="G15" s="18"/>
      <c r="I15" s="17"/>
      <c r="J15" s="1061" t="s">
        <v>412</v>
      </c>
      <c r="K15" s="1062"/>
      <c r="L15" s="1062"/>
      <c r="M15" s="1063"/>
      <c r="N15" s="117"/>
    </row>
    <row r="16" spans="2:17" ht="15" thickBot="1">
      <c r="B16" s="19"/>
      <c r="C16" s="26"/>
      <c r="D16" s="26"/>
      <c r="E16" s="20"/>
      <c r="F16" s="20"/>
      <c r="G16" s="21"/>
      <c r="I16" s="19"/>
      <c r="J16" s="26"/>
      <c r="K16" s="26"/>
      <c r="L16" s="20"/>
      <c r="M16" s="20"/>
      <c r="N16" s="21"/>
    </row>
    <row r="17" spans="1:14" ht="15" thickBot="1"/>
    <row r="18" spans="1:14" ht="15" thickBot="1">
      <c r="B18" s="15"/>
      <c r="C18" s="22"/>
      <c r="D18" s="22"/>
      <c r="E18" s="22"/>
      <c r="F18" s="22"/>
      <c r="G18" s="16"/>
      <c r="I18" s="136"/>
      <c r="J18" s="137"/>
      <c r="K18" s="137"/>
      <c r="L18" s="137"/>
      <c r="M18" s="137"/>
      <c r="N18" s="138"/>
    </row>
    <row r="19" spans="1:14" ht="15" thickBot="1">
      <c r="B19" s="17"/>
      <c r="C19" s="1083" t="s">
        <v>413</v>
      </c>
      <c r="D19" s="1083"/>
      <c r="E19" s="1083"/>
      <c r="F19" s="1083"/>
      <c r="G19" s="18"/>
      <c r="I19" s="17"/>
      <c r="J19" s="1075" t="s">
        <v>414</v>
      </c>
      <c r="K19" s="1075"/>
      <c r="L19" s="1075"/>
      <c r="M19" s="1075"/>
      <c r="N19" s="18"/>
    </row>
    <row r="20" spans="1:14" ht="29.45" thickBot="1">
      <c r="B20" s="107"/>
      <c r="C20" s="171" t="s">
        <v>415</v>
      </c>
      <c r="D20" s="172" t="s">
        <v>187</v>
      </c>
      <c r="E20" s="172" t="s">
        <v>188</v>
      </c>
      <c r="F20" s="173" t="s">
        <v>189</v>
      </c>
      <c r="G20" s="108"/>
      <c r="I20" s="17"/>
      <c r="J20" s="150" t="s">
        <v>416</v>
      </c>
      <c r="K20" s="150" t="s">
        <v>187</v>
      </c>
      <c r="L20" s="150" t="s">
        <v>188</v>
      </c>
      <c r="M20" s="151" t="s">
        <v>417</v>
      </c>
      <c r="N20" s="18"/>
    </row>
    <row r="21" spans="1:14" ht="15.75" customHeight="1" thickBot="1">
      <c r="B21" s="17"/>
      <c r="C21" s="174"/>
      <c r="D21" s="175" t="s">
        <v>321</v>
      </c>
      <c r="E21" s="175" t="s">
        <v>326</v>
      </c>
      <c r="F21" s="176">
        <f>IF(AND(D21="mg/L",E21="µmol/L"),C21/0.144,IF(AND(D21="µmol/L",E21="mg/L"),C21/6.9343))</f>
        <v>0</v>
      </c>
      <c r="G21" s="18"/>
      <c r="I21" s="17"/>
      <c r="J21" s="148"/>
      <c r="K21" s="149" t="s">
        <v>418</v>
      </c>
      <c r="L21" s="149" t="s">
        <v>419</v>
      </c>
      <c r="M21" s="152">
        <f>IF(AND(K21="FRACTION",L21="%"),J21*100,IF(AND(K21="%",L21="FRACTION"),J21/100))</f>
        <v>0</v>
      </c>
      <c r="N21" s="18"/>
    </row>
    <row r="22" spans="1:14" ht="15" thickBot="1">
      <c r="B22" s="17"/>
      <c r="C22" s="1084" t="s">
        <v>420</v>
      </c>
      <c r="D22" s="1084"/>
      <c r="E22" s="1084"/>
      <c r="F22" s="1084"/>
      <c r="G22" s="18"/>
      <c r="I22" s="17"/>
      <c r="J22" s="1076" t="s">
        <v>421</v>
      </c>
      <c r="K22" s="1076"/>
      <c r="L22" s="1076"/>
      <c r="M22" s="1076"/>
      <c r="N22" s="18"/>
    </row>
    <row r="23" spans="1:14" ht="15" customHeight="1" thickBot="1">
      <c r="B23" s="19"/>
      <c r="C23" s="26"/>
      <c r="D23" s="26"/>
      <c r="E23" s="20"/>
      <c r="F23" s="20"/>
      <c r="G23" s="21"/>
      <c r="I23" s="17"/>
      <c r="J23" s="1049" t="s">
        <v>422</v>
      </c>
      <c r="K23" s="1050"/>
      <c r="L23" s="1050"/>
      <c r="M23" s="1051"/>
      <c r="N23" s="18"/>
    </row>
    <row r="24" spans="1:14">
      <c r="I24" s="17"/>
      <c r="J24" s="1052"/>
      <c r="K24" s="1053"/>
      <c r="L24" s="1053"/>
      <c r="M24" s="1054"/>
      <c r="N24" s="18"/>
    </row>
    <row r="25" spans="1:14" ht="15" thickBot="1">
      <c r="A25" s="34"/>
      <c r="H25" s="34"/>
      <c r="I25" s="17"/>
      <c r="J25" s="1052"/>
      <c r="K25" s="1053"/>
      <c r="L25" s="1053"/>
      <c r="M25" s="1054"/>
      <c r="N25" s="18"/>
    </row>
    <row r="26" spans="1:14" ht="15" thickBot="1">
      <c r="B26" s="136"/>
      <c r="C26" s="137"/>
      <c r="D26" s="137"/>
      <c r="E26" s="137"/>
      <c r="F26" s="137"/>
      <c r="G26" s="138"/>
      <c r="I26" s="17"/>
      <c r="J26" s="1052"/>
      <c r="K26" s="1053"/>
      <c r="L26" s="1053"/>
      <c r="M26" s="1054"/>
      <c r="N26" s="18"/>
    </row>
    <row r="27" spans="1:14" ht="15" thickBot="1">
      <c r="B27" s="17"/>
      <c r="C27" s="1067" t="s">
        <v>423</v>
      </c>
      <c r="D27" s="1068"/>
      <c r="E27" s="1068"/>
      <c r="F27" s="1069"/>
      <c r="G27" s="18"/>
      <c r="I27" s="17"/>
      <c r="J27" s="1052"/>
      <c r="K27" s="1053"/>
      <c r="L27" s="1053"/>
      <c r="M27" s="1054"/>
      <c r="N27" s="18"/>
    </row>
    <row r="28" spans="1:14" ht="29.45" thickBot="1">
      <c r="B28" s="17"/>
      <c r="C28" s="177" t="s">
        <v>424</v>
      </c>
      <c r="D28" s="177" t="s">
        <v>187</v>
      </c>
      <c r="E28" s="177" t="s">
        <v>188</v>
      </c>
      <c r="F28" s="178" t="s">
        <v>417</v>
      </c>
      <c r="G28" s="18"/>
      <c r="I28" s="17"/>
      <c r="J28" s="1052"/>
      <c r="K28" s="1053"/>
      <c r="L28" s="1053"/>
      <c r="M28" s="1054"/>
      <c r="N28" s="18"/>
    </row>
    <row r="29" spans="1:14" ht="15" thickBot="1">
      <c r="B29" s="17"/>
      <c r="C29" s="179"/>
      <c r="D29" s="180" t="s">
        <v>418</v>
      </c>
      <c r="E29" s="180" t="s">
        <v>419</v>
      </c>
      <c r="F29" s="181">
        <f>IF(AND(D29="FRACTION",E29="%"),C29*100,IF(AND(D29="%",E29="FRACTION"),C29/100))</f>
        <v>0</v>
      </c>
      <c r="G29" s="18"/>
      <c r="I29" s="17"/>
      <c r="J29" s="1052"/>
      <c r="K29" s="1053"/>
      <c r="L29" s="1053"/>
      <c r="M29" s="1054"/>
      <c r="N29" s="18"/>
    </row>
    <row r="30" spans="1:14" ht="15" thickBot="1">
      <c r="B30" s="17"/>
      <c r="C30" s="1070"/>
      <c r="D30" s="1071"/>
      <c r="E30" s="1071"/>
      <c r="F30" s="1072"/>
      <c r="G30" s="18"/>
      <c r="I30" s="17"/>
      <c r="J30" s="1052"/>
      <c r="K30" s="1053"/>
      <c r="L30" s="1053"/>
      <c r="M30" s="1054"/>
      <c r="N30" s="18"/>
    </row>
    <row r="31" spans="1:14" ht="15" thickBot="1">
      <c r="B31" s="17"/>
      <c r="C31" s="612" t="s">
        <v>425</v>
      </c>
      <c r="D31" s="613"/>
      <c r="F31" s="179" t="s">
        <v>426</v>
      </c>
      <c r="G31" s="18"/>
      <c r="I31" s="17"/>
      <c r="J31" s="1052"/>
      <c r="K31" s="1053"/>
      <c r="L31" s="1053"/>
      <c r="M31" s="1054"/>
      <c r="N31" s="18"/>
    </row>
    <row r="32" spans="1:14" ht="15" thickBot="1">
      <c r="B32" s="17"/>
      <c r="C32" s="1089"/>
      <c r="D32" s="1090"/>
      <c r="E32" s="1090"/>
      <c r="F32" s="1091"/>
      <c r="G32" s="18"/>
      <c r="I32" s="17"/>
      <c r="J32" s="1055"/>
      <c r="K32" s="1056"/>
      <c r="L32" s="1056"/>
      <c r="M32" s="1057"/>
      <c r="N32" s="18"/>
    </row>
    <row r="33" spans="2:14" ht="15" thickBot="1">
      <c r="B33" s="17"/>
      <c r="C33" s="1074" t="s">
        <v>427</v>
      </c>
      <c r="D33" s="1074"/>
      <c r="E33" s="1074"/>
      <c r="F33" s="1074"/>
      <c r="G33" s="18"/>
      <c r="I33" s="19"/>
      <c r="J33" s="26"/>
      <c r="K33" s="26"/>
      <c r="L33" s="20"/>
      <c r="M33" s="20"/>
      <c r="N33" s="21"/>
    </row>
    <row r="34" spans="2:14" ht="18.75" customHeight="1" thickBot="1">
      <c r="B34" s="17"/>
      <c r="C34" s="1073" t="s">
        <v>428</v>
      </c>
      <c r="D34" s="1073"/>
      <c r="E34" s="1066" t="s">
        <v>429</v>
      </c>
      <c r="F34" s="1066"/>
      <c r="G34" s="18"/>
    </row>
    <row r="35" spans="2:14" ht="15" thickBot="1">
      <c r="B35" s="17"/>
      <c r="C35" s="1073" t="s">
        <v>430</v>
      </c>
      <c r="D35" s="1073"/>
      <c r="E35" s="1092" t="s">
        <v>431</v>
      </c>
      <c r="F35" s="1092"/>
      <c r="G35" s="18"/>
    </row>
    <row r="36" spans="2:14" ht="15" thickBot="1">
      <c r="B36" s="17"/>
      <c r="C36" s="1088" t="s">
        <v>432</v>
      </c>
      <c r="D36" s="1088"/>
      <c r="E36" s="1095" t="s">
        <v>433</v>
      </c>
      <c r="F36" s="1096"/>
      <c r="G36" s="18"/>
    </row>
    <row r="37" spans="2:14" ht="15" thickBot="1">
      <c r="B37" s="17"/>
      <c r="C37" s="1094" t="s">
        <v>434</v>
      </c>
      <c r="D37" s="1094"/>
      <c r="E37" s="1093" t="s">
        <v>435</v>
      </c>
      <c r="F37" s="1093"/>
      <c r="G37" s="18"/>
    </row>
    <row r="38" spans="2:14" ht="15" customHeight="1" thickBot="1">
      <c r="B38" s="17"/>
      <c r="C38" s="1094" t="s">
        <v>436</v>
      </c>
      <c r="D38" s="1094"/>
      <c r="E38" s="1088" t="s">
        <v>437</v>
      </c>
      <c r="F38" s="1088"/>
      <c r="G38" s="18"/>
    </row>
    <row r="39" spans="2:14" ht="15" thickBot="1">
      <c r="B39" s="17"/>
      <c r="C39" s="1088" t="s">
        <v>438</v>
      </c>
      <c r="D39" s="1088"/>
      <c r="E39" s="1088" t="s">
        <v>439</v>
      </c>
      <c r="F39" s="1088"/>
      <c r="G39" s="18"/>
    </row>
    <row r="40" spans="2:14" ht="15" thickBot="1">
      <c r="B40" s="19"/>
      <c r="C40" s="20"/>
      <c r="D40" s="20"/>
      <c r="E40" s="20"/>
      <c r="F40" s="20"/>
      <c r="G40" s="21"/>
    </row>
    <row r="54" spans="11:19">
      <c r="K54" s="124"/>
      <c r="L54" s="124"/>
      <c r="M54" s="124"/>
      <c r="N54" s="124"/>
      <c r="O54" s="124"/>
      <c r="P54" s="124"/>
      <c r="Q54" s="124"/>
      <c r="R54" s="124"/>
      <c r="S54" s="124"/>
    </row>
    <row r="55" spans="11:19">
      <c r="K55" s="124"/>
      <c r="L55" s="124"/>
      <c r="M55" s="124"/>
      <c r="N55" s="124"/>
      <c r="O55" s="124"/>
      <c r="P55" s="124"/>
      <c r="Q55" s="124"/>
      <c r="R55" s="124"/>
      <c r="S55" s="124"/>
    </row>
    <row r="56" spans="11:19">
      <c r="K56" s="124"/>
      <c r="L56" s="124"/>
      <c r="M56" s="124"/>
      <c r="N56" s="124"/>
      <c r="O56" s="124"/>
      <c r="P56" s="124"/>
      <c r="Q56" s="124"/>
      <c r="R56" s="124"/>
      <c r="S56" s="124"/>
    </row>
    <row r="57" spans="11:19">
      <c r="K57" s="124"/>
      <c r="L57" s="124"/>
      <c r="M57" s="124"/>
      <c r="N57" s="124"/>
      <c r="O57" s="124"/>
      <c r="P57" s="124"/>
      <c r="Q57" s="124"/>
      <c r="R57" s="124"/>
      <c r="S57" s="124"/>
    </row>
    <row r="58" spans="11:19">
      <c r="K58" s="124"/>
      <c r="L58" s="124"/>
      <c r="M58" s="124"/>
      <c r="N58" s="124"/>
      <c r="O58" s="124"/>
      <c r="P58" s="124"/>
      <c r="Q58" s="124"/>
      <c r="R58" s="124"/>
      <c r="S58" s="124"/>
    </row>
    <row r="59" spans="11:19">
      <c r="K59" s="124"/>
      <c r="L59" s="124"/>
      <c r="M59" s="124"/>
      <c r="N59" s="124"/>
      <c r="O59" s="124"/>
      <c r="P59" s="124"/>
      <c r="Q59" s="124"/>
      <c r="R59" s="124"/>
      <c r="S59" s="124"/>
    </row>
    <row r="60" spans="11:19">
      <c r="K60" s="124"/>
      <c r="L60" s="124"/>
      <c r="M60" s="124"/>
      <c r="N60" s="124"/>
      <c r="O60" s="124"/>
      <c r="P60" s="124"/>
      <c r="Q60" s="124"/>
      <c r="R60" s="124"/>
      <c r="S60" s="124"/>
    </row>
    <row r="61" spans="11:19">
      <c r="K61" s="124"/>
      <c r="L61" s="124"/>
      <c r="M61" s="124"/>
      <c r="N61" s="124"/>
      <c r="O61" s="124"/>
      <c r="P61" s="124"/>
      <c r="Q61" s="124"/>
      <c r="R61" s="124"/>
      <c r="S61" s="124"/>
    </row>
    <row r="62" spans="11:19">
      <c r="K62" s="124"/>
      <c r="L62" s="124"/>
      <c r="M62" s="124"/>
      <c r="N62" s="124"/>
      <c r="O62" s="124"/>
      <c r="P62" s="124"/>
      <c r="Q62" s="124"/>
      <c r="R62" s="124"/>
      <c r="S62" s="124"/>
    </row>
  </sheetData>
  <sheetProtection algorithmName="SHA-512" hashValue="Pgao4AxYvRp/6fehxxmha9MuSal8tz5bn3IqzqdSfLT8tifSp/oZQLeGf6j6+kqDbxgYwboyTFQ7bHw3yy6GEg==" saltValue="0puNFGqE65ljGrLdukU+jw==" spinCount="100000" sheet="1" objects="1" scenarios="1"/>
  <mergeCells count="31">
    <mergeCell ref="E39:F39"/>
    <mergeCell ref="C32:F32"/>
    <mergeCell ref="E35:F35"/>
    <mergeCell ref="E37:F37"/>
    <mergeCell ref="E38:F38"/>
    <mergeCell ref="C37:D37"/>
    <mergeCell ref="C38:D38"/>
    <mergeCell ref="C39:D39"/>
    <mergeCell ref="E36:F36"/>
    <mergeCell ref="C35:D35"/>
    <mergeCell ref="C36:D36"/>
    <mergeCell ref="E34:F34"/>
    <mergeCell ref="C27:F27"/>
    <mergeCell ref="C30:F30"/>
    <mergeCell ref="C34:D34"/>
    <mergeCell ref="C33:F33"/>
    <mergeCell ref="C5:F5"/>
    <mergeCell ref="J5:M5"/>
    <mergeCell ref="P4:Q4"/>
    <mergeCell ref="D2:L2"/>
    <mergeCell ref="J23:M32"/>
    <mergeCell ref="J12:M12"/>
    <mergeCell ref="J15:M15"/>
    <mergeCell ref="J8:M8"/>
    <mergeCell ref="J19:M19"/>
    <mergeCell ref="J22:M22"/>
    <mergeCell ref="C8:F8"/>
    <mergeCell ref="C15:F15"/>
    <mergeCell ref="C19:F19"/>
    <mergeCell ref="C22:F22"/>
    <mergeCell ref="C12:F12"/>
  </mergeCells>
  <conditionalFormatting sqref="E29">
    <cfRule type="colorScale" priority="3">
      <colorScale>
        <cfvo type="min"/>
        <cfvo type="max"/>
        <color rgb="FFFF7128"/>
        <color rgb="FFFFEF9C"/>
      </colorScale>
    </cfRule>
  </conditionalFormatting>
  <conditionalFormatting sqref="L21">
    <cfRule type="colorScale" priority="1">
      <colorScale>
        <cfvo type="min"/>
        <cfvo type="max"/>
        <color rgb="FFFF7128"/>
        <color rgb="FFFFEF9C"/>
      </colorScale>
    </cfRule>
  </conditionalFormatting>
  <dataValidations count="4">
    <dataValidation type="list" allowBlank="1" showInputMessage="1" showErrorMessage="1" sqref="D7 D14 K14 D21" xr:uid="{00000000-0002-0000-2200-000000000000}">
      <formula1>"µmol/L, mg/L"</formula1>
    </dataValidation>
    <dataValidation type="list" allowBlank="1" showInputMessage="1" showErrorMessage="1" sqref="E7 E14 L14 E21" xr:uid="{00000000-0002-0000-2200-000001000000}">
      <formula1>"µmol/L, mg/L,"</formula1>
    </dataValidation>
    <dataValidation type="list" allowBlank="1" showInputMessage="1" showErrorMessage="1" sqref="K7:L7" xr:uid="{00000000-0002-0000-2200-000002000000}">
      <formula1>"µmol/L, mg/L, mg/dL"</formula1>
    </dataValidation>
    <dataValidation type="list" allowBlank="1" showInputMessage="1" showErrorMessage="1" sqref="D29:E29 K21:L21" xr:uid="{00000000-0002-0000-2200-000003000000}">
      <formula1>"Fraction, %"</formula1>
    </dataValidation>
  </dataValidations>
  <hyperlinks>
    <hyperlink ref="P5" r:id="rId1" display="https://apps.sbgh.mb.ca/labmanual/test/findTestPrepare" xr:uid="{D13D5EB5-3A81-4BD0-9962-ECB0768551EE}"/>
    <hyperlink ref="P6" r:id="rId2" display="http://unitslab.com/node/173" xr:uid="{00000000-0004-0000-2200-000001000000}"/>
  </hyperlinks>
  <pageMargins left="0.7" right="0.7" top="0.75" bottom="0.75" header="0.3" footer="0.3"/>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tabColor rgb="FFFFC000"/>
  </sheetPr>
  <dimension ref="B1:R45"/>
  <sheetViews>
    <sheetView zoomScaleNormal="100" workbookViewId="0">
      <selection activeCell="C6" sqref="C6"/>
    </sheetView>
  </sheetViews>
  <sheetFormatPr defaultColWidth="10.85546875" defaultRowHeight="17.100000000000001" customHeight="1"/>
  <cols>
    <col min="1" max="2" width="4.42578125" customWidth="1"/>
    <col min="4" max="4" width="12.140625" bestFit="1" customWidth="1"/>
    <col min="5" max="5" width="13.42578125" bestFit="1" customWidth="1"/>
    <col min="6" max="6" width="20.140625" bestFit="1" customWidth="1"/>
    <col min="7" max="7" width="4.42578125" customWidth="1"/>
    <col min="8" max="8" width="6.42578125" customWidth="1"/>
    <col min="9" max="9" width="4.42578125" customWidth="1"/>
    <col min="10" max="10" width="19.140625" customWidth="1"/>
    <col min="11" max="11" width="19.7109375" customWidth="1"/>
    <col min="12" max="12" width="5.42578125" customWidth="1"/>
    <col min="13" max="13" width="4.42578125" customWidth="1"/>
    <col min="14" max="14" width="10.28515625" customWidth="1"/>
    <col min="15" max="15" width="31.5703125" bestFit="1" customWidth="1"/>
    <col min="16" max="16" width="38.5703125" customWidth="1"/>
    <col min="17" max="17" width="11" customWidth="1"/>
    <col min="18" max="18" width="13.85546875" bestFit="1" customWidth="1"/>
    <col min="19" max="19" width="9.28515625" customWidth="1"/>
  </cols>
  <sheetData>
    <row r="1" spans="2:18" ht="17.100000000000001" customHeight="1" thickBot="1">
      <c r="M1" s="25"/>
    </row>
    <row r="2" spans="2:18" ht="15" thickBot="1">
      <c r="M2" s="25"/>
      <c r="O2" s="1103" t="s">
        <v>440</v>
      </c>
      <c r="P2" s="1104"/>
    </row>
    <row r="3" spans="2:18" ht="15" customHeight="1" thickBot="1">
      <c r="B3" s="587"/>
      <c r="C3" s="598"/>
      <c r="D3" s="598"/>
      <c r="E3" s="598"/>
      <c r="F3" s="598"/>
      <c r="G3" s="599"/>
      <c r="I3" s="1124"/>
      <c r="J3" s="1125"/>
      <c r="K3" s="616"/>
      <c r="L3" s="1125"/>
      <c r="M3" s="1126"/>
      <c r="O3" s="1105"/>
      <c r="P3" s="1106"/>
    </row>
    <row r="4" spans="2:18" ht="15" customHeight="1" thickBot="1">
      <c r="B4" s="590"/>
      <c r="C4" s="1107" t="s">
        <v>441</v>
      </c>
      <c r="D4" s="1107"/>
      <c r="E4" s="1107"/>
      <c r="F4" s="1107"/>
      <c r="G4" s="593"/>
      <c r="I4" s="617"/>
      <c r="J4" s="1113" t="s">
        <v>442</v>
      </c>
      <c r="K4" s="1114"/>
      <c r="L4" s="1115"/>
      <c r="M4" s="619"/>
      <c r="N4" s="94"/>
      <c r="O4" s="625" t="s">
        <v>443</v>
      </c>
      <c r="P4" s="183">
        <v>46083.201388888891</v>
      </c>
      <c r="Q4" s="94"/>
      <c r="R4" s="94"/>
    </row>
    <row r="5" spans="2:18" ht="15" customHeight="1" thickBot="1">
      <c r="B5" s="590"/>
      <c r="C5" s="632" t="s">
        <v>444</v>
      </c>
      <c r="D5" s="634" t="s">
        <v>187</v>
      </c>
      <c r="E5" s="634" t="s">
        <v>188</v>
      </c>
      <c r="F5" s="634" t="s">
        <v>445</v>
      </c>
      <c r="G5" s="593"/>
      <c r="I5" s="1127"/>
      <c r="J5" s="1128"/>
      <c r="K5" s="618"/>
      <c r="L5" s="1128"/>
      <c r="M5" s="1129"/>
      <c r="N5" s="25"/>
      <c r="O5" s="626" t="s">
        <v>446</v>
      </c>
      <c r="P5" s="183">
        <v>46084.161111111112</v>
      </c>
      <c r="Q5" s="25"/>
      <c r="R5" s="25"/>
    </row>
    <row r="6" spans="2:18" ht="15" customHeight="1" thickBot="1">
      <c r="B6" s="590"/>
      <c r="C6" s="63"/>
      <c r="D6" s="43" t="s">
        <v>447</v>
      </c>
      <c r="E6" s="43" t="s">
        <v>448</v>
      </c>
      <c r="F6" s="635">
        <f>IF(AND(D6="mg",E6="g"),C6/1000,IF(AND(D6="g",E6="mg"),C6*1000,IF(AND(D6="kg",E6="g"),C6*1000,IF(AND(D6="g",E6="kg"),C6/1000,IF(AND(D6="g",E6="oz"),C6/28.35,IF(AND(D6="oz",E6="g"),C6*28.35,IF(AND(D6="g",E6="lb"),C6/1000*2.2,IF(AND(D6="lb",E6="g"),C6/2.2*1000,IF(AND(D6="kg",E6="lb"),C6*2.2,IF(AND(D6="lb",E6="kg"),C6/2.2,IF(AND(D6="µg",E6="mg"),C6/1000,IF(AND(D6="mg",E6="µg"),C6*1000,IF(AND(D6="oz",E6="lb"),C6/16,IF(AND(D6="lb",E6="oz"),C6*16,IF(AND(D6="mg",E6="oz"),C6/28350,IF(AND(D6="oz",E6="mg"),C6*28350,IF(AND(D6="µg",E6="g"),C6/1000000,IF(AND(D6="µg",E6="kg"),C6/1000000000,IF(AND(D6="µg",E6="oz"),C6/1000000/28.35,IF(AND(D6="µg",E6="lb"),C6/1000000000*2.2,IF(AND(D6="mg",E6="kg"),C6/1000000,IF(AND(D6="mg",E6="lb"),C6/1000000*2.2,IF(AND(D6="g",E6="µg"),C6*1000000,IF(AND(D6="kg",E6="µg"),C6*1000000000,IF(AND(D6="kg",E6="mg"),C6*1000000,IF(AND(D6="kg",E6="oz"),C6*1000/28.35,IF(AND(D6="lb",E6="µg"),C6/2.2*1000000000,IF(AND(D6="lb",E6="mg"),C6/2.2*1000000,IF(AND(D6="oz",E6="µg"),C6*28350000, IF(AND(D6="oz", E6="kg"),C6*0.02835, IF(AND(D6="µg", E6="µg"),C6, IF(AND(D6="mg", E6="mg"),C6, IF(AND(D6="g", E6="g"),C6, IF(AND(D6="kg", E6="kg"),C6, IF(AND(D6="lb", E6="lb"),C6, IF(AND(D6="oz", E6="oz"),C6))))))))))))))))))))))))))))))))))))</f>
        <v>0</v>
      </c>
      <c r="G6" s="593"/>
      <c r="I6" s="617"/>
      <c r="J6" s="1111" t="s">
        <v>449</v>
      </c>
      <c r="K6" s="1111"/>
      <c r="L6" s="622"/>
      <c r="M6" s="619"/>
      <c r="N6" s="25"/>
      <c r="O6" s="627" t="s">
        <v>450</v>
      </c>
      <c r="P6" s="629" t="str">
        <f>_xlfn.LET(
  _xlpm.d, P5-P4,
  _xlpm.wholeDays, INT(_xlpm.d),
  _xlpm.rem, MOD(_xlpm.d,1),
  _xlpm.hrs, HOUR(_xlpm.rem),
  _xlpm.mins, MINUTE(_xlpm.rem),
  _xlpm.secs, SECOND(_xlpm.rem),
  _xlpm.wholeDays &amp; " days, " &amp; _xlpm.hrs &amp; " hours, " &amp; _xlpm.mins &amp; " minutes, " &amp; _xlpm.secs &amp; " seconds"
)</f>
        <v>0 days, 23 hours, 2 minutes, 0 seconds</v>
      </c>
      <c r="Q6" s="25"/>
      <c r="R6" s="25"/>
    </row>
    <row r="7" spans="2:18" ht="15" customHeight="1" thickBot="1">
      <c r="B7" s="590"/>
      <c r="C7" s="260"/>
      <c r="D7" s="260"/>
      <c r="E7" s="260"/>
      <c r="F7" s="260"/>
      <c r="G7" s="593"/>
      <c r="I7" s="617"/>
      <c r="J7" s="1111" t="s">
        <v>451</v>
      </c>
      <c r="K7" s="1111"/>
      <c r="L7" s="622"/>
      <c r="M7" s="619"/>
      <c r="N7" s="87"/>
      <c r="O7" s="626" t="s">
        <v>452</v>
      </c>
      <c r="P7" s="630" t="str">
        <f>ROUND(P5 - P4, 1) &amp; " Days"</f>
        <v>1 Days</v>
      </c>
      <c r="Q7" s="90"/>
      <c r="R7" s="91"/>
    </row>
    <row r="8" spans="2:18" ht="15" customHeight="1" thickBot="1">
      <c r="B8" s="590"/>
      <c r="C8" s="1107" t="s">
        <v>453</v>
      </c>
      <c r="D8" s="1107"/>
      <c r="E8" s="1107"/>
      <c r="F8" s="1107"/>
      <c r="G8" s="593"/>
      <c r="I8" s="617"/>
      <c r="J8" s="1112" t="s">
        <v>454</v>
      </c>
      <c r="K8" s="1112"/>
      <c r="L8" s="623">
        <f>IF(L6&gt;L7,L7+1,L7)-L6</f>
        <v>0</v>
      </c>
      <c r="M8" s="619"/>
      <c r="N8" s="87"/>
      <c r="O8" s="628" t="s">
        <v>455</v>
      </c>
      <c r="P8" s="631">
        <f>MAX(0, (--P5 - --P4) * 24)</f>
        <v>23.033333333325572</v>
      </c>
      <c r="Q8" s="93"/>
      <c r="R8" s="89"/>
    </row>
    <row r="9" spans="2:18" ht="15" customHeight="1" thickBot="1">
      <c r="B9" s="590"/>
      <c r="C9" s="632" t="s">
        <v>444</v>
      </c>
      <c r="D9" s="632" t="s">
        <v>187</v>
      </c>
      <c r="E9" s="632" t="s">
        <v>188</v>
      </c>
      <c r="F9" s="632" t="s">
        <v>445</v>
      </c>
      <c r="G9" s="593"/>
      <c r="I9" s="617"/>
      <c r="J9" s="1116"/>
      <c r="K9" s="1116"/>
      <c r="L9" s="1116"/>
      <c r="M9" s="619"/>
      <c r="N9" s="87"/>
      <c r="O9" s="87"/>
      <c r="P9" s="88"/>
      <c r="Q9" s="88"/>
      <c r="R9" s="88"/>
    </row>
    <row r="10" spans="2:18" ht="15" customHeight="1" thickBot="1">
      <c r="B10" s="590"/>
      <c r="C10" s="63"/>
      <c r="D10" s="43" t="s">
        <v>447</v>
      </c>
      <c r="E10" s="43" t="s">
        <v>447</v>
      </c>
      <c r="F10" s="633">
        <f>IF(AND(D10="mL",E10="L"),C10/1000,IF(AND(D10="L",E10="mL"),C10*1000,IF(AND(D10="mL",E10="oz"),C10/29.57,IF(AND(D10="oz",E10="mL"),C10*29.57,IF(AND(D10="L",E10="oz"),C10*1000/29.57,IF(AND(D10="oz",E10="L"),C10*29.57/1000,IF(AND(D10="mL",E10="mL"),C10,IF(AND(D10="L",E10="L"),C10,IF(AND(D10="oz",E10="oz"),C10)))))))))</f>
        <v>0</v>
      </c>
      <c r="G10" s="593"/>
      <c r="I10" s="617"/>
      <c r="J10" s="142" t="s">
        <v>456</v>
      </c>
      <c r="K10" s="142"/>
      <c r="L10" s="143"/>
      <c r="M10" s="619"/>
      <c r="N10" s="87"/>
      <c r="O10" s="87"/>
      <c r="P10" s="87"/>
      <c r="Q10" s="87"/>
      <c r="R10" s="87"/>
    </row>
    <row r="11" spans="2:18" ht="15" customHeight="1" thickBot="1">
      <c r="B11" s="590"/>
      <c r="C11" s="614"/>
      <c r="D11" s="486"/>
      <c r="E11" s="615"/>
      <c r="F11" s="615"/>
      <c r="G11" s="593"/>
      <c r="I11" s="617"/>
      <c r="J11" s="142" t="s">
        <v>457</v>
      </c>
      <c r="K11" s="142"/>
      <c r="L11" s="143"/>
      <c r="M11" s="619"/>
      <c r="N11" s="87"/>
      <c r="O11" s="87"/>
      <c r="P11" s="87"/>
      <c r="Q11" s="87"/>
      <c r="R11" s="87"/>
    </row>
    <row r="12" spans="2:18" ht="15" customHeight="1" thickBot="1">
      <c r="B12" s="590"/>
      <c r="C12" s="1108" t="s">
        <v>458</v>
      </c>
      <c r="D12" s="1109"/>
      <c r="E12" s="1109"/>
      <c r="F12" s="1110"/>
      <c r="G12" s="593"/>
      <c r="I12" s="617"/>
      <c r="J12" s="142" t="s">
        <v>459</v>
      </c>
      <c r="K12" s="142"/>
      <c r="L12" s="143"/>
      <c r="M12" s="619"/>
      <c r="N12" s="87"/>
      <c r="O12" s="87"/>
      <c r="P12" s="87"/>
      <c r="Q12" s="87"/>
      <c r="R12" s="87"/>
    </row>
    <row r="13" spans="2:18" ht="15" customHeight="1" thickBot="1">
      <c r="B13" s="595"/>
      <c r="C13" s="611"/>
      <c r="D13" s="611"/>
      <c r="E13" s="606"/>
      <c r="F13" s="606"/>
      <c r="G13" s="597"/>
      <c r="I13" s="617"/>
      <c r="J13" s="1097" t="s">
        <v>460</v>
      </c>
      <c r="K13" s="1098"/>
      <c r="L13" s="624">
        <f>L10+(L11/60)+(L12/3600)</f>
        <v>0</v>
      </c>
      <c r="M13" s="619"/>
      <c r="O13" s="182"/>
      <c r="P13" s="182"/>
      <c r="Q13" s="182"/>
    </row>
    <row r="14" spans="2:18" ht="15" customHeight="1" thickBot="1">
      <c r="C14" s="25"/>
      <c r="D14" s="25"/>
      <c r="I14" s="620"/>
      <c r="J14" s="1099"/>
      <c r="K14" s="1099"/>
      <c r="L14" s="1099"/>
      <c r="M14" s="621"/>
      <c r="N14" s="94"/>
      <c r="O14" s="94"/>
      <c r="P14" s="94"/>
      <c r="Q14" s="94"/>
    </row>
    <row r="15" spans="2:18" ht="17.100000000000001" customHeight="1" thickBot="1">
      <c r="M15" s="25"/>
    </row>
    <row r="16" spans="2:18" ht="17.100000000000001" customHeight="1" thickBot="1">
      <c r="I16" s="1100" t="s">
        <v>461</v>
      </c>
      <c r="J16" s="1101"/>
      <c r="K16" s="1101"/>
      <c r="L16" s="1101"/>
      <c r="M16" s="1102"/>
      <c r="N16" s="25"/>
      <c r="O16" s="25"/>
      <c r="P16" s="25"/>
      <c r="Q16" s="25"/>
    </row>
    <row r="17" spans="3:18" ht="17.100000000000001" customHeight="1">
      <c r="M17" s="25"/>
      <c r="N17" s="87"/>
      <c r="O17" s="87"/>
      <c r="P17" s="87"/>
      <c r="Q17" s="87"/>
    </row>
    <row r="18" spans="3:18" ht="17.100000000000001" customHeight="1">
      <c r="M18" s="25"/>
      <c r="N18" s="87"/>
      <c r="O18" s="92"/>
      <c r="P18" s="87"/>
      <c r="Q18" s="87"/>
    </row>
    <row r="19" spans="3:18" ht="15" customHeight="1">
      <c r="M19" s="25"/>
      <c r="N19" s="87"/>
      <c r="O19" s="87"/>
      <c r="P19" s="87"/>
      <c r="Q19" s="87"/>
    </row>
    <row r="20" spans="3:18" ht="17.100000000000001" customHeight="1">
      <c r="M20" s="25"/>
      <c r="N20" s="87"/>
      <c r="O20" s="87"/>
      <c r="P20" s="87"/>
      <c r="Q20" s="87"/>
    </row>
    <row r="21" spans="3:18" ht="17.100000000000001" customHeight="1">
      <c r="M21" s="25"/>
      <c r="N21" s="87"/>
      <c r="O21" s="87"/>
      <c r="P21" s="87"/>
      <c r="Q21" s="87"/>
    </row>
    <row r="23" spans="3:18" ht="15" customHeight="1"/>
    <row r="24" spans="3:18" ht="15" customHeight="1"/>
    <row r="25" spans="3:18" ht="15" customHeight="1"/>
    <row r="26" spans="3:18" ht="15" customHeight="1"/>
    <row r="27" spans="3:18" ht="15" customHeight="1"/>
    <row r="28" spans="3:18" ht="17.100000000000001" customHeight="1">
      <c r="M28" s="34"/>
      <c r="N28" s="34"/>
      <c r="O28" s="34"/>
      <c r="P28" s="34"/>
      <c r="Q28" s="34"/>
      <c r="R28" s="34"/>
    </row>
    <row r="29" spans="3:18" ht="17.100000000000001" customHeight="1">
      <c r="M29" s="25"/>
    </row>
    <row r="30" spans="3:18" ht="17.100000000000001" customHeight="1">
      <c r="M30" s="25"/>
      <c r="N30" s="25"/>
      <c r="O30" s="25"/>
      <c r="P30" s="25"/>
      <c r="Q30" s="25"/>
    </row>
    <row r="31" spans="3:18" ht="14.25" customHeight="1">
      <c r="M31" s="25"/>
      <c r="N31" s="87"/>
      <c r="O31" s="87"/>
      <c r="P31" s="87"/>
      <c r="Q31" s="87"/>
    </row>
    <row r="32" spans="3:18" ht="17.100000000000001" customHeight="1">
      <c r="C32" s="34"/>
      <c r="D32" s="34"/>
      <c r="E32" s="34"/>
      <c r="F32" s="34"/>
      <c r="M32" s="25"/>
      <c r="N32" s="87"/>
      <c r="O32" s="87"/>
      <c r="P32" s="87"/>
      <c r="Q32" s="87"/>
    </row>
    <row r="33" spans="3:17" ht="17.100000000000001" customHeight="1">
      <c r="M33" s="25"/>
      <c r="N33" s="87"/>
      <c r="O33" s="87"/>
      <c r="P33" s="87"/>
      <c r="Q33" s="87"/>
    </row>
    <row r="34" spans="3:17" ht="14.45">
      <c r="C34" s="3"/>
      <c r="D34" s="3"/>
      <c r="E34" s="83"/>
      <c r="M34" s="25"/>
      <c r="N34" s="87"/>
      <c r="O34" s="87"/>
      <c r="P34" s="87"/>
      <c r="Q34" s="87"/>
    </row>
    <row r="35" spans="3:17" ht="14.45">
      <c r="C35" s="3"/>
      <c r="D35" s="3"/>
      <c r="E35" s="83"/>
      <c r="M35" s="25"/>
      <c r="N35" s="87"/>
      <c r="O35" s="87"/>
      <c r="P35" s="87"/>
      <c r="Q35" s="87"/>
    </row>
    <row r="36" spans="3:17" ht="14.45">
      <c r="C36" s="3"/>
      <c r="D36" s="3"/>
      <c r="E36" s="83"/>
    </row>
    <row r="37" spans="3:17" ht="14.45">
      <c r="C37" s="3"/>
      <c r="D37" s="3"/>
      <c r="E37" s="84"/>
    </row>
    <row r="38" spans="3:17" ht="17.100000000000001" customHeight="1">
      <c r="D38" s="3"/>
      <c r="E38" s="2"/>
      <c r="M38" s="34"/>
      <c r="N38" s="34"/>
      <c r="O38" s="34"/>
      <c r="P38" s="34"/>
      <c r="Q38" s="34"/>
    </row>
    <row r="39" spans="3:17" ht="14.45">
      <c r="C39" s="3"/>
      <c r="D39" s="3"/>
      <c r="E39" s="85"/>
      <c r="M39" s="25"/>
    </row>
    <row r="40" spans="3:17" ht="17.100000000000001" customHeight="1">
      <c r="C40" s="3"/>
      <c r="D40" s="3"/>
      <c r="E40" s="85"/>
      <c r="M40" s="25"/>
      <c r="N40" s="25"/>
      <c r="O40" s="25"/>
      <c r="P40" s="25"/>
    </row>
    <row r="41" spans="3:17" ht="15" customHeight="1">
      <c r="C41" s="78"/>
      <c r="D41" s="78"/>
      <c r="E41" s="86"/>
      <c r="M41" s="25"/>
      <c r="N41" s="87"/>
      <c r="O41" s="87"/>
      <c r="P41" s="25"/>
    </row>
    <row r="42" spans="3:17" ht="17.100000000000001" customHeight="1">
      <c r="E42" s="25"/>
      <c r="M42" s="25"/>
      <c r="N42" s="87"/>
      <c r="O42" s="87"/>
      <c r="P42" s="25"/>
    </row>
    <row r="43" spans="3:17" ht="17.100000000000001" customHeight="1">
      <c r="M43" s="25"/>
      <c r="N43" s="87"/>
      <c r="O43" s="87"/>
      <c r="P43" s="25"/>
    </row>
    <row r="44" spans="3:17" ht="17.100000000000001" customHeight="1">
      <c r="M44" s="25"/>
      <c r="N44" s="25"/>
      <c r="O44" s="25"/>
      <c r="P44" s="25"/>
    </row>
    <row r="45" spans="3:17" ht="17.100000000000001" customHeight="1">
      <c r="P45" s="25"/>
    </row>
  </sheetData>
  <sheetProtection algorithmName="SHA-512" hashValue="2TY8nZ0N3N4O5ZuPWHx2PAStFEH/q4vGkZNXIDaOPjeW3kaNHMsN2sA0R3tIseIcya9TRTNqqJcYhkndtEsrWg==" saltValue="IQozwKAT8qe0ZXcqlS90EA==" spinCount="100000" sheet="1" selectLockedCells="1"/>
  <mergeCells count="16">
    <mergeCell ref="C4:F4"/>
    <mergeCell ref="C8:F8"/>
    <mergeCell ref="C12:F12"/>
    <mergeCell ref="J6:K6"/>
    <mergeCell ref="J7:K7"/>
    <mergeCell ref="J8:K8"/>
    <mergeCell ref="J4:L4"/>
    <mergeCell ref="J9:L9"/>
    <mergeCell ref="J13:K13"/>
    <mergeCell ref="J14:L14"/>
    <mergeCell ref="I16:M16"/>
    <mergeCell ref="O2:P3"/>
    <mergeCell ref="I3:J3"/>
    <mergeCell ref="L3:M3"/>
    <mergeCell ref="I5:J5"/>
    <mergeCell ref="L5:M5"/>
  </mergeCells>
  <dataValidations count="2">
    <dataValidation type="list" allowBlank="1" showInputMessage="1" showErrorMessage="1" sqref="D6:E6" xr:uid="{00000000-0002-0000-2300-000000000000}">
      <formula1>"µg, mg, g, kg, oz, lb"</formula1>
    </dataValidation>
    <dataValidation type="list" allowBlank="1" showInputMessage="1" showErrorMessage="1" sqref="D10:E10" xr:uid="{00000000-0002-0000-2300-000001000000}">
      <formula1>"mL, L, oz"</formula1>
    </dataValidation>
  </dataValidations>
  <hyperlinks>
    <hyperlink ref="C12" r:id="rId1" display="https://usma.org/correct-si-metric-usage" xr:uid="{00000000-0004-0000-2300-000000000000}"/>
  </hyperlinks>
  <pageMargins left="0.7" right="0.7" top="0.75" bottom="0.75" header="0.3" footer="0.3"/>
  <pageSetup orientation="portrait"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tabColor rgb="FF92D050"/>
  </sheetPr>
  <dimension ref="A1:D51"/>
  <sheetViews>
    <sheetView workbookViewId="0">
      <selection activeCell="D36" sqref="D36"/>
    </sheetView>
  </sheetViews>
  <sheetFormatPr defaultRowHeight="14.45"/>
  <cols>
    <col min="1" max="1" width="6.42578125" customWidth="1"/>
    <col min="2" max="2" width="17.42578125" style="25" bestFit="1" customWidth="1"/>
    <col min="3" max="3" width="16" style="25" customWidth="1"/>
    <col min="4" max="4" width="210.7109375" customWidth="1"/>
    <col min="5" max="5" width="5" customWidth="1"/>
  </cols>
  <sheetData>
    <row r="1" spans="1:4" ht="33" customHeight="1" thickBot="1">
      <c r="B1" s="100"/>
      <c r="C1" s="100"/>
      <c r="D1" s="29"/>
    </row>
    <row r="2" spans="1:4" ht="27" customHeight="1" thickBot="1">
      <c r="A2" s="31"/>
      <c r="B2" s="32" t="s">
        <v>462</v>
      </c>
      <c r="C2" s="32" t="s">
        <v>463</v>
      </c>
      <c r="D2" s="32" t="s">
        <v>464</v>
      </c>
    </row>
    <row r="3" spans="1:4">
      <c r="B3" s="30">
        <v>1</v>
      </c>
      <c r="C3" s="99">
        <v>44133</v>
      </c>
      <c r="D3" s="33" t="s">
        <v>465</v>
      </c>
    </row>
    <row r="4" spans="1:4" s="104" customFormat="1" ht="14.25" customHeight="1">
      <c r="B4" s="105">
        <v>1.0000009999999999</v>
      </c>
      <c r="C4" s="106">
        <v>44168</v>
      </c>
      <c r="D4" s="103" t="s">
        <v>466</v>
      </c>
    </row>
    <row r="5" spans="1:4" s="104" customFormat="1" ht="14.25" customHeight="1">
      <c r="B5" s="105">
        <v>1.0000009999999999</v>
      </c>
      <c r="C5" s="106">
        <v>44168</v>
      </c>
      <c r="D5" s="103" t="s">
        <v>467</v>
      </c>
    </row>
    <row r="6" spans="1:4">
      <c r="B6" s="105">
        <v>1.0000009999999999</v>
      </c>
      <c r="C6" s="106">
        <v>44168</v>
      </c>
      <c r="D6" s="28" t="s">
        <v>468</v>
      </c>
    </row>
    <row r="7" spans="1:4">
      <c r="B7" s="105">
        <v>1.0000009999999999</v>
      </c>
      <c r="C7" s="106">
        <v>44168</v>
      </c>
      <c r="D7" s="28" t="s">
        <v>469</v>
      </c>
    </row>
    <row r="8" spans="1:4">
      <c r="B8" s="105">
        <v>1.0000009999999999</v>
      </c>
      <c r="C8" s="106">
        <v>44168</v>
      </c>
      <c r="D8" s="28" t="s">
        <v>470</v>
      </c>
    </row>
    <row r="9" spans="1:4">
      <c r="B9" s="105">
        <v>1.0000009999999999</v>
      </c>
      <c r="C9" s="106">
        <v>44168</v>
      </c>
      <c r="D9" s="28" t="s">
        <v>471</v>
      </c>
    </row>
    <row r="10" spans="1:4">
      <c r="B10" s="102">
        <v>1.0000020000000001</v>
      </c>
      <c r="C10" s="101">
        <v>44200</v>
      </c>
      <c r="D10" s="28" t="s">
        <v>472</v>
      </c>
    </row>
    <row r="11" spans="1:4">
      <c r="B11" s="102">
        <v>1.0000020000000001</v>
      </c>
      <c r="C11" s="101">
        <v>44200</v>
      </c>
      <c r="D11" s="28" t="s">
        <v>473</v>
      </c>
    </row>
    <row r="12" spans="1:4">
      <c r="B12" s="102">
        <v>1.0000020000000001</v>
      </c>
      <c r="C12" s="101">
        <v>44200</v>
      </c>
      <c r="D12" s="28" t="s">
        <v>474</v>
      </c>
    </row>
    <row r="13" spans="1:4">
      <c r="B13" s="102">
        <v>1.000003</v>
      </c>
      <c r="C13" s="101">
        <v>44318</v>
      </c>
      <c r="D13" s="28" t="s">
        <v>475</v>
      </c>
    </row>
    <row r="14" spans="1:4">
      <c r="B14" s="102">
        <v>1.000003</v>
      </c>
      <c r="C14" s="101">
        <v>44330</v>
      </c>
      <c r="D14" s="28" t="s">
        <v>476</v>
      </c>
    </row>
    <row r="15" spans="1:4">
      <c r="B15" s="102">
        <v>1.0000039999999999</v>
      </c>
      <c r="C15" s="101">
        <v>44348</v>
      </c>
      <c r="D15" s="28" t="s">
        <v>477</v>
      </c>
    </row>
    <row r="16" spans="1:4">
      <c r="B16" s="102">
        <v>1.000005</v>
      </c>
      <c r="C16" s="101">
        <v>44481</v>
      </c>
      <c r="D16" s="28" t="s">
        <v>478</v>
      </c>
    </row>
    <row r="17" spans="2:4">
      <c r="B17" s="102">
        <v>1.000006</v>
      </c>
      <c r="C17" s="101">
        <v>44515</v>
      </c>
      <c r="D17" s="28" t="s">
        <v>479</v>
      </c>
    </row>
    <row r="18" spans="2:4">
      <c r="B18" s="102">
        <v>1.0000070000000001</v>
      </c>
      <c r="C18" s="101">
        <v>44515</v>
      </c>
      <c r="D18" s="28" t="s">
        <v>480</v>
      </c>
    </row>
    <row r="19" spans="2:4">
      <c r="B19" s="102">
        <v>1.000008</v>
      </c>
      <c r="C19" s="101">
        <v>44562</v>
      </c>
      <c r="D19" s="28" t="s">
        <v>481</v>
      </c>
    </row>
    <row r="20" spans="2:4">
      <c r="B20" s="102">
        <v>1.0000089999999999</v>
      </c>
      <c r="C20" s="101">
        <v>44608</v>
      </c>
      <c r="D20" s="28" t="s">
        <v>482</v>
      </c>
    </row>
    <row r="21" spans="2:4">
      <c r="B21" s="102">
        <v>1.0000100000000001</v>
      </c>
      <c r="C21" s="101">
        <v>44660</v>
      </c>
      <c r="D21" s="28" t="s">
        <v>483</v>
      </c>
    </row>
    <row r="22" spans="2:4">
      <c r="B22" s="102">
        <v>1.000011</v>
      </c>
      <c r="C22" s="101">
        <v>44661</v>
      </c>
      <c r="D22" s="28" t="s">
        <v>484</v>
      </c>
    </row>
    <row r="23" spans="2:4">
      <c r="B23" s="102">
        <v>1.0000119999999999</v>
      </c>
      <c r="C23" s="101">
        <v>44687</v>
      </c>
      <c r="D23" s="28" t="s">
        <v>485</v>
      </c>
    </row>
    <row r="24" spans="2:4">
      <c r="B24" s="102">
        <v>1.000013</v>
      </c>
      <c r="C24" s="101">
        <v>44733</v>
      </c>
      <c r="D24" s="28" t="s">
        <v>486</v>
      </c>
    </row>
    <row r="25" spans="2:4">
      <c r="B25" s="102">
        <v>1.000014</v>
      </c>
      <c r="C25" s="101">
        <v>44759</v>
      </c>
      <c r="D25" s="28" t="s">
        <v>487</v>
      </c>
    </row>
    <row r="26" spans="2:4">
      <c r="B26" s="102">
        <v>1.0000150000000001</v>
      </c>
      <c r="C26" s="101">
        <v>44823</v>
      </c>
      <c r="D26" s="28" t="s">
        <v>488</v>
      </c>
    </row>
    <row r="27" spans="2:4">
      <c r="B27" s="102">
        <v>1.000016</v>
      </c>
      <c r="C27" s="101">
        <v>44873</v>
      </c>
      <c r="D27" s="28" t="s">
        <v>489</v>
      </c>
    </row>
    <row r="28" spans="2:4">
      <c r="B28" s="102">
        <v>1.0000169999999999</v>
      </c>
      <c r="C28" s="101">
        <v>44873</v>
      </c>
      <c r="D28" s="28" t="s">
        <v>490</v>
      </c>
    </row>
    <row r="29" spans="2:4">
      <c r="B29" s="102">
        <v>1.0000180000000001</v>
      </c>
      <c r="C29" s="101">
        <v>44974</v>
      </c>
      <c r="D29" s="28" t="s">
        <v>491</v>
      </c>
    </row>
    <row r="30" spans="2:4">
      <c r="B30" s="102">
        <v>1.000019</v>
      </c>
      <c r="C30" s="101">
        <v>45091</v>
      </c>
      <c r="D30" s="28" t="s">
        <v>492</v>
      </c>
    </row>
    <row r="31" spans="2:4">
      <c r="B31" s="102">
        <v>1.000021</v>
      </c>
      <c r="C31" s="101">
        <v>45247</v>
      </c>
      <c r="D31" s="28" t="s">
        <v>493</v>
      </c>
    </row>
    <row r="32" spans="2:4">
      <c r="B32" s="102">
        <v>1.000022</v>
      </c>
      <c r="C32" s="101">
        <v>45662</v>
      </c>
      <c r="D32" s="28" t="s">
        <v>494</v>
      </c>
    </row>
    <row r="33" spans="2:4">
      <c r="B33" s="102">
        <v>1.0000230000000001</v>
      </c>
      <c r="C33" s="101">
        <v>45678</v>
      </c>
      <c r="D33" s="28" t="s">
        <v>495</v>
      </c>
    </row>
    <row r="34" spans="2:4">
      <c r="B34" s="102">
        <v>1.000024</v>
      </c>
      <c r="C34" s="101">
        <v>45838</v>
      </c>
      <c r="D34" s="28" t="s">
        <v>496</v>
      </c>
    </row>
    <row r="35" spans="2:4">
      <c r="B35" s="102">
        <v>1.0000249999999999</v>
      </c>
      <c r="C35" s="101">
        <v>46086</v>
      </c>
      <c r="D35" s="28" t="s">
        <v>497</v>
      </c>
    </row>
    <row r="36" spans="2:4" ht="43.15">
      <c r="B36" s="102">
        <v>1.0000260000000001</v>
      </c>
      <c r="C36" s="101">
        <v>46091</v>
      </c>
      <c r="D36" s="208" t="s">
        <v>498</v>
      </c>
    </row>
    <row r="37" spans="2:4">
      <c r="B37" s="102"/>
      <c r="C37" s="101"/>
      <c r="D37" s="28"/>
    </row>
    <row r="38" spans="2:4">
      <c r="B38" s="102"/>
      <c r="C38" s="101"/>
      <c r="D38" s="28"/>
    </row>
    <row r="39" spans="2:4">
      <c r="B39" s="102"/>
      <c r="C39" s="101"/>
      <c r="D39" s="28"/>
    </row>
    <row r="40" spans="2:4">
      <c r="B40" s="102"/>
      <c r="C40" s="101"/>
      <c r="D40" s="28"/>
    </row>
    <row r="41" spans="2:4">
      <c r="B41" s="102"/>
      <c r="C41" s="101"/>
      <c r="D41" s="28"/>
    </row>
    <row r="42" spans="2:4">
      <c r="B42" s="102"/>
      <c r="C42" s="101"/>
      <c r="D42" s="28"/>
    </row>
    <row r="43" spans="2:4">
      <c r="B43" s="102"/>
      <c r="C43" s="101"/>
      <c r="D43" s="28"/>
    </row>
    <row r="44" spans="2:4">
      <c r="B44" s="102"/>
      <c r="C44" s="101"/>
      <c r="D44" s="28"/>
    </row>
    <row r="45" spans="2:4">
      <c r="B45" s="102"/>
      <c r="C45" s="101"/>
      <c r="D45" s="28"/>
    </row>
    <row r="46" spans="2:4">
      <c r="B46" s="102"/>
      <c r="C46" s="101"/>
      <c r="D46" s="28"/>
    </row>
    <row r="47" spans="2:4">
      <c r="B47" s="102"/>
      <c r="C47" s="101"/>
      <c r="D47" s="28"/>
    </row>
    <row r="48" spans="2:4">
      <c r="B48" s="102"/>
      <c r="C48" s="101"/>
      <c r="D48" s="28"/>
    </row>
    <row r="49" spans="2:4">
      <c r="B49" s="102"/>
      <c r="C49" s="101"/>
      <c r="D49" s="28"/>
    </row>
    <row r="50" spans="2:4">
      <c r="B50" s="102"/>
      <c r="C50" s="101"/>
      <c r="D50" s="28"/>
    </row>
    <row r="51" spans="2:4">
      <c r="B51" s="102"/>
      <c r="C51" s="101"/>
      <c r="D51" s="28"/>
    </row>
  </sheetData>
  <sheetProtection algorithmName="SHA-512" hashValue="IGtUqDVSTlpBkBjCsN43ujxh6J1obfxa6uqtskUTQj0cxXY9HdsyBIAFfek9byBEmBFIWDBg4LvQX+K14EsazQ==" saltValue="myErX+UuhU5F0RX8dSmSHQ==" spinCount="100000" sheet="1" objects="1" scenarios="1"/>
  <pageMargins left="0.19685039370078741" right="0.19685039370078741" top="0.19685039370078741" bottom="0.19685039370078741" header="0.19685039370078741" footer="0.19685039370078741"/>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39997558519241921"/>
  </sheetPr>
  <dimension ref="B1:R27"/>
  <sheetViews>
    <sheetView zoomScale="110" zoomScaleNormal="110" workbookViewId="0">
      <selection activeCell="D8" sqref="D8"/>
    </sheetView>
  </sheetViews>
  <sheetFormatPr defaultRowHeight="14.45"/>
  <cols>
    <col min="1" max="2" width="4.42578125" customWidth="1"/>
    <col min="3" max="3" width="35.42578125" bestFit="1" customWidth="1"/>
    <col min="4" max="4" width="15.85546875" customWidth="1"/>
    <col min="5" max="5" width="4.42578125" customWidth="1"/>
    <col min="6" max="6" width="8.85546875" customWidth="1"/>
  </cols>
  <sheetData>
    <row r="1" spans="2:18" ht="19.149999999999999" customHeight="1"/>
    <row r="2" spans="2:18" ht="15" thickBot="1"/>
    <row r="3" spans="2:18" ht="15" thickBot="1">
      <c r="B3" s="256"/>
      <c r="C3" s="257"/>
      <c r="D3" s="257"/>
      <c r="E3" s="258"/>
    </row>
    <row r="4" spans="2:18">
      <c r="B4" s="259"/>
      <c r="C4" s="680" t="s">
        <v>22</v>
      </c>
      <c r="D4" s="681"/>
      <c r="E4" s="261"/>
    </row>
    <row r="5" spans="2:18" ht="15" thickBot="1">
      <c r="B5" s="259"/>
      <c r="C5" s="682" t="s">
        <v>23</v>
      </c>
      <c r="D5" s="683"/>
      <c r="E5" s="261"/>
    </row>
    <row r="6" spans="2:18" ht="29.45" customHeight="1" thickBot="1">
      <c r="B6" s="259"/>
      <c r="C6" s="684" t="s">
        <v>24</v>
      </c>
      <c r="D6" s="685"/>
      <c r="E6" s="261"/>
    </row>
    <row r="7" spans="2:18" ht="15" thickBot="1">
      <c r="B7" s="259"/>
      <c r="C7" s="260"/>
      <c r="D7" s="260"/>
      <c r="E7" s="261"/>
    </row>
    <row r="8" spans="2:18" ht="15" customHeight="1" thickBot="1">
      <c r="B8" s="259"/>
      <c r="C8" s="265" t="s">
        <v>25</v>
      </c>
      <c r="D8" s="249"/>
      <c r="E8" s="261"/>
    </row>
    <row r="9" spans="2:18" ht="15" thickBot="1">
      <c r="B9" s="259"/>
      <c r="C9" s="265" t="s">
        <v>26</v>
      </c>
      <c r="D9" s="249"/>
      <c r="E9" s="261"/>
    </row>
    <row r="10" spans="2:18" ht="15" thickBot="1">
      <c r="B10" s="259"/>
      <c r="C10" s="265" t="s">
        <v>27</v>
      </c>
      <c r="D10" s="249"/>
      <c r="E10" s="261"/>
      <c r="G10" s="668" t="s">
        <v>28</v>
      </c>
      <c r="H10" s="669"/>
      <c r="I10" s="670"/>
    </row>
    <row r="11" spans="2:18" ht="15" thickBot="1">
      <c r="B11" s="259"/>
      <c r="C11" s="265" t="s">
        <v>29</v>
      </c>
      <c r="D11" s="249"/>
      <c r="E11" s="261"/>
      <c r="G11" s="661" t="s">
        <v>30</v>
      </c>
      <c r="H11" s="662"/>
      <c r="I11" s="663"/>
    </row>
    <row r="12" spans="2:18" ht="15" thickBot="1">
      <c r="B12" s="259"/>
      <c r="C12" s="265" t="s">
        <v>31</v>
      </c>
      <c r="D12" s="249"/>
      <c r="E12" s="261"/>
      <c r="G12" s="661" t="s">
        <v>32</v>
      </c>
      <c r="H12" s="662"/>
      <c r="I12" s="663"/>
    </row>
    <row r="13" spans="2:18" ht="15" thickBot="1">
      <c r="B13" s="259"/>
      <c r="C13" s="265" t="s">
        <v>33</v>
      </c>
      <c r="D13" s="249"/>
      <c r="E13" s="261"/>
      <c r="G13" s="661" t="s">
        <v>34</v>
      </c>
      <c r="H13" s="662"/>
      <c r="I13" s="663"/>
    </row>
    <row r="14" spans="2:18" ht="15" thickBot="1">
      <c r="B14" s="259"/>
      <c r="C14" s="265" t="s">
        <v>35</v>
      </c>
      <c r="D14" s="249"/>
      <c r="E14" s="261"/>
      <c r="G14" s="661" t="s">
        <v>36</v>
      </c>
      <c r="H14" s="662"/>
      <c r="I14" s="663"/>
    </row>
    <row r="15" spans="2:18" ht="15" thickBot="1">
      <c r="B15" s="259"/>
      <c r="C15" s="265" t="s">
        <v>37</v>
      </c>
      <c r="D15" s="249"/>
      <c r="E15" s="261"/>
      <c r="G15" s="661" t="s">
        <v>38</v>
      </c>
      <c r="H15" s="662"/>
      <c r="I15" s="662"/>
      <c r="J15" s="662"/>
      <c r="K15" s="662"/>
      <c r="L15" s="662"/>
      <c r="M15" s="662"/>
      <c r="N15" s="662"/>
      <c r="O15" s="662"/>
      <c r="P15" s="662"/>
      <c r="Q15" s="662"/>
      <c r="R15" s="663"/>
    </row>
    <row r="16" spans="2:18" ht="15" thickBot="1">
      <c r="B16" s="259"/>
      <c r="C16" s="265" t="s">
        <v>39</v>
      </c>
      <c r="D16" s="266"/>
      <c r="E16" s="261"/>
      <c r="G16" s="661" t="s">
        <v>40</v>
      </c>
      <c r="H16" s="662"/>
      <c r="I16" s="662"/>
      <c r="J16" s="662"/>
      <c r="K16" s="662"/>
      <c r="L16" s="662"/>
      <c r="M16" s="662"/>
      <c r="N16" s="662"/>
      <c r="O16" s="662"/>
      <c r="P16" s="662"/>
      <c r="Q16" s="662"/>
      <c r="R16" s="663"/>
    </row>
    <row r="17" spans="2:9" ht="15" thickBot="1">
      <c r="B17" s="259"/>
      <c r="C17" s="267"/>
      <c r="D17" s="268"/>
      <c r="E17" s="261"/>
    </row>
    <row r="18" spans="2:9" ht="15" thickBot="1">
      <c r="B18" s="259"/>
      <c r="C18" s="269" t="s">
        <v>9</v>
      </c>
      <c r="D18" s="270">
        <v>150</v>
      </c>
      <c r="E18" s="261"/>
      <c r="G18" s="664"/>
      <c r="H18" s="664"/>
      <c r="I18" s="664"/>
    </row>
    <row r="19" spans="2:9" ht="15" thickBot="1">
      <c r="B19" s="259"/>
      <c r="C19" s="265" t="s">
        <v>41</v>
      </c>
      <c r="D19" s="271">
        <f>IF(D8*150&lt;6500,D8*150,6500)</f>
        <v>0</v>
      </c>
      <c r="E19" s="261"/>
      <c r="G19" s="665" t="s">
        <v>20</v>
      </c>
      <c r="H19" s="667"/>
      <c r="I19" s="409"/>
    </row>
    <row r="20" spans="2:9" ht="15" thickBot="1">
      <c r="B20" s="259"/>
      <c r="C20" s="221" t="s">
        <v>42</v>
      </c>
      <c r="D20" s="272">
        <f>(D10*D9*10*0.9246)+(D11*D9*10*0.7154)+(D12*D9*10*1.3978)+(D13*D9*10*0.7303)+(D14*D9*10*1.3043)+(D15*D9*10*D16)</f>
        <v>0</v>
      </c>
      <c r="E20" s="261"/>
    </row>
    <row r="21" spans="2:9" ht="15" customHeight="1" thickBot="1">
      <c r="B21" s="259"/>
      <c r="C21" s="227" t="s">
        <v>43</v>
      </c>
      <c r="D21" s="273" t="e">
        <f>((D10*D9*10*0.9246)+(D11*D9*10*0.7154)+(D12*D9*10*1.3978)+(D13*D9*10*0.7303)+(D14*D9*10*1.3043)+(D15*D9*10*D16))/D8</f>
        <v>#DIV/0!</v>
      </c>
      <c r="E21" s="261"/>
    </row>
    <row r="22" spans="2:9" ht="15" thickBot="1">
      <c r="B22" s="259"/>
      <c r="C22" s="228" t="s">
        <v>14</v>
      </c>
      <c r="D22" s="274" t="e">
        <f>IF(D19&lt;6500, (D8*150)/((D10*10*0.9246)+(D11*10*0.7154)+(D12*10*1.3978)+(D13*10*0.7303)+(D14*10*1.3043)+(D15*10*D16)), 6500/((D10*10*0.9246)+(D11*10*0.7154)+(D12*10*1.3978)+(D13*10*0.7303)+(D14*10*1.3043)+(D15*10*D16)))</f>
        <v>#DIV/0!</v>
      </c>
      <c r="E22" s="261"/>
      <c r="G22" s="665" t="s">
        <v>21</v>
      </c>
      <c r="H22" s="666"/>
      <c r="I22" s="667"/>
    </row>
    <row r="23" spans="2:9" ht="15" thickBot="1">
      <c r="B23" s="262"/>
      <c r="C23" s="263"/>
      <c r="D23" s="263"/>
      <c r="E23" s="264"/>
    </row>
    <row r="24" spans="2:9" ht="15" thickBot="1"/>
    <row r="25" spans="2:9">
      <c r="B25" s="674" t="s">
        <v>44</v>
      </c>
      <c r="C25" s="675"/>
      <c r="D25" s="675"/>
      <c r="E25" s="676"/>
    </row>
    <row r="26" spans="2:9" ht="13.7" customHeight="1">
      <c r="B26" s="671" t="s">
        <v>45</v>
      </c>
      <c r="C26" s="672"/>
      <c r="D26" s="672"/>
      <c r="E26" s="673"/>
    </row>
    <row r="27" spans="2:9" ht="15" thickBot="1">
      <c r="B27" s="677" t="s">
        <v>46</v>
      </c>
      <c r="C27" s="678"/>
      <c r="D27" s="678"/>
      <c r="E27" s="679"/>
    </row>
  </sheetData>
  <sheetProtection algorithmName="SHA-512" hashValue="F5HiEvhLk+omNmrrffjSzxiCbahqh5+TWNySoweZUmFsBcl2KunkHtFnQqvZtNBltczlZVBL5UER4q2Vgc3hLQ==" saltValue="OkTL+Y/Eyb1evkqK8NerkQ==" spinCount="100000" sheet="1" selectLockedCells="1"/>
  <mergeCells count="16">
    <mergeCell ref="B26:E26"/>
    <mergeCell ref="B25:E25"/>
    <mergeCell ref="B27:E27"/>
    <mergeCell ref="C4:D4"/>
    <mergeCell ref="C5:D5"/>
    <mergeCell ref="C6:D6"/>
    <mergeCell ref="G10:I10"/>
    <mergeCell ref="G11:I11"/>
    <mergeCell ref="G12:I12"/>
    <mergeCell ref="G13:I13"/>
    <mergeCell ref="G14:I14"/>
    <mergeCell ref="G16:R16"/>
    <mergeCell ref="G18:I18"/>
    <mergeCell ref="G22:I22"/>
    <mergeCell ref="G15:R15"/>
    <mergeCell ref="G19:H19"/>
  </mergeCells>
  <phoneticPr fontId="39" type="noConversion"/>
  <hyperlinks>
    <hyperlink ref="B26" r:id="rId1" xr:uid="{00000000-0004-0000-0300-000000000000}"/>
  </hyperlinks>
  <pageMargins left="0.7" right="0.7" top="0.75" bottom="0.75" header="0.3" footer="0.3"/>
  <pageSetup orientation="portrait" horizontalDpi="300" verticalDpi="300"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
    <tabColor rgb="FFFF0000"/>
  </sheetPr>
  <dimension ref="B1:J29"/>
  <sheetViews>
    <sheetView workbookViewId="0">
      <selection activeCell="O16" sqref="O16"/>
    </sheetView>
  </sheetViews>
  <sheetFormatPr defaultColWidth="9.140625" defaultRowHeight="14.45"/>
  <cols>
    <col min="1" max="1" width="14.140625" style="1" customWidth="1"/>
    <col min="2" max="9" width="9.140625" style="1"/>
    <col min="10" max="10" width="20.42578125" style="1" customWidth="1"/>
    <col min="11" max="16384" width="9.140625" style="1"/>
  </cols>
  <sheetData>
    <row r="1" spans="2:10" ht="29.25" customHeight="1"/>
    <row r="2" spans="2:10" ht="17.100000000000001" customHeight="1">
      <c r="B2" s="1118" t="s">
        <v>499</v>
      </c>
      <c r="C2" s="1118"/>
      <c r="D2" s="1118"/>
      <c r="E2" s="1118"/>
      <c r="F2" s="1118"/>
      <c r="G2" s="1118"/>
      <c r="H2" s="1118"/>
      <c r="I2" s="1118"/>
      <c r="J2" s="1118"/>
    </row>
    <row r="3" spans="2:10" ht="17.100000000000001" customHeight="1">
      <c r="B3" s="27"/>
      <c r="C3" s="27"/>
      <c r="D3" s="27"/>
      <c r="E3" s="27"/>
      <c r="F3" s="27"/>
      <c r="G3" s="27"/>
      <c r="H3" s="27"/>
    </row>
    <row r="4" spans="2:10" ht="17.100000000000001" customHeight="1">
      <c r="B4" s="1117" t="s">
        <v>500</v>
      </c>
      <c r="C4" s="1117"/>
      <c r="D4" s="1117"/>
      <c r="E4" s="1117"/>
      <c r="F4" s="1117"/>
      <c r="G4" s="1117"/>
      <c r="H4" s="1117"/>
      <c r="I4" s="1117"/>
      <c r="J4" s="1117"/>
    </row>
    <row r="5" spans="2:10" ht="17.100000000000001" customHeight="1">
      <c r="B5" s="1117" t="s">
        <v>501</v>
      </c>
      <c r="C5" s="1117"/>
      <c r="D5" s="1117"/>
      <c r="E5" s="1117"/>
      <c r="F5" s="1117"/>
      <c r="G5" s="1117"/>
      <c r="H5" s="1117"/>
      <c r="I5" s="1117"/>
      <c r="J5" s="1117"/>
    </row>
    <row r="6" spans="2:10" ht="17.100000000000001" customHeight="1">
      <c r="B6" s="1119" t="s">
        <v>502</v>
      </c>
      <c r="C6" s="1119"/>
      <c r="D6" s="1119"/>
      <c r="E6" s="1119"/>
      <c r="F6" s="1119"/>
      <c r="G6" s="1119"/>
      <c r="H6" s="1119"/>
      <c r="I6" s="1119"/>
      <c r="J6" s="1119"/>
    </row>
    <row r="7" spans="2:10" ht="17.100000000000001" customHeight="1">
      <c r="B7" s="1117" t="s">
        <v>503</v>
      </c>
      <c r="C7" s="1117"/>
      <c r="D7" s="1117"/>
      <c r="E7" s="1117"/>
      <c r="F7" s="1117"/>
      <c r="G7" s="1117"/>
      <c r="H7" s="1117"/>
      <c r="I7" s="1117"/>
      <c r="J7" s="1117"/>
    </row>
    <row r="8" spans="2:10" ht="17.100000000000001" customHeight="1">
      <c r="B8" s="1117" t="s">
        <v>504</v>
      </c>
      <c r="C8" s="1117"/>
      <c r="D8" s="1117"/>
      <c r="E8" s="1117"/>
      <c r="F8" s="1117"/>
      <c r="G8" s="1117"/>
      <c r="H8" s="1117"/>
      <c r="I8" s="1117"/>
      <c r="J8" s="1117"/>
    </row>
    <row r="9" spans="2:10" ht="17.100000000000001" customHeight="1">
      <c r="B9" s="1117" t="s">
        <v>505</v>
      </c>
      <c r="C9" s="1117"/>
      <c r="D9" s="1117"/>
      <c r="E9" s="1117"/>
      <c r="F9" s="1117"/>
      <c r="G9" s="1117"/>
      <c r="H9" s="1117"/>
      <c r="I9" s="1117"/>
      <c r="J9" s="1117"/>
    </row>
    <row r="10" spans="2:10" ht="17.100000000000001" customHeight="1">
      <c r="B10" s="1117" t="s">
        <v>506</v>
      </c>
      <c r="C10" s="1117"/>
      <c r="D10" s="1117"/>
      <c r="E10" s="1117"/>
      <c r="F10" s="1117"/>
      <c r="G10" s="1117"/>
      <c r="H10" s="1117"/>
      <c r="I10" s="1117"/>
      <c r="J10" s="1117"/>
    </row>
    <row r="11" spans="2:10" ht="17.100000000000001" customHeight="1">
      <c r="B11" s="27"/>
      <c r="C11" s="27"/>
      <c r="D11" s="27"/>
      <c r="E11" s="27"/>
      <c r="F11" s="27"/>
      <c r="G11" s="27"/>
      <c r="H11" s="27"/>
    </row>
    <row r="12" spans="2:10" ht="17.100000000000001" customHeight="1">
      <c r="B12" s="27"/>
      <c r="C12" s="27"/>
      <c r="D12" s="27"/>
      <c r="E12" s="27"/>
      <c r="F12" s="27"/>
      <c r="G12" s="27"/>
      <c r="H12" s="27"/>
    </row>
    <row r="13" spans="2:10" ht="17.100000000000001" customHeight="1">
      <c r="B13" s="27"/>
      <c r="C13" s="27"/>
      <c r="D13" s="27"/>
      <c r="E13" s="27"/>
      <c r="F13" s="27"/>
      <c r="G13" s="27"/>
      <c r="H13" s="27"/>
    </row>
    <row r="14" spans="2:10" ht="17.100000000000001" customHeight="1">
      <c r="B14" s="37"/>
      <c r="C14" s="27"/>
      <c r="D14" s="27"/>
      <c r="E14" s="27"/>
      <c r="F14" s="27"/>
      <c r="G14" s="27"/>
      <c r="H14" s="27"/>
    </row>
    <row r="15" spans="2:10" ht="17.100000000000001" customHeight="1">
      <c r="B15" s="27"/>
      <c r="C15" s="27"/>
      <c r="D15" s="27"/>
      <c r="E15" s="27"/>
      <c r="F15" s="27"/>
      <c r="G15" s="27"/>
      <c r="H15" s="27"/>
    </row>
    <row r="16" spans="2:10" ht="17.100000000000001" customHeight="1">
      <c r="B16" s="27"/>
      <c r="C16" s="27"/>
      <c r="D16" s="27"/>
      <c r="E16" s="27"/>
      <c r="F16" s="27"/>
      <c r="G16" s="27"/>
      <c r="H16" s="27"/>
    </row>
    <row r="17" spans="2:8" ht="17.100000000000001" customHeight="1">
      <c r="B17" s="27"/>
      <c r="C17" s="27"/>
      <c r="D17" s="27"/>
      <c r="E17" s="27"/>
      <c r="F17" s="27"/>
      <c r="G17" s="27"/>
      <c r="H17" s="27"/>
    </row>
    <row r="18" spans="2:8" ht="17.100000000000001" customHeight="1">
      <c r="B18" s="27"/>
      <c r="C18" s="27"/>
      <c r="D18" s="27"/>
      <c r="E18" s="27"/>
      <c r="F18" s="27"/>
      <c r="G18" s="27"/>
      <c r="H18" s="27"/>
    </row>
    <row r="19" spans="2:8" ht="17.100000000000001" customHeight="1">
      <c r="B19" s="27"/>
      <c r="C19" s="27"/>
      <c r="D19" s="27"/>
      <c r="E19" s="27"/>
      <c r="F19" s="27"/>
      <c r="G19" s="27"/>
      <c r="H19" s="27"/>
    </row>
    <row r="20" spans="2:8" ht="17.100000000000001" customHeight="1">
      <c r="B20" s="27"/>
      <c r="C20" s="27"/>
      <c r="D20" s="27"/>
      <c r="E20" s="27"/>
      <c r="F20" s="27"/>
      <c r="G20" s="27"/>
      <c r="H20" s="27"/>
    </row>
    <row r="21" spans="2:8" ht="17.100000000000001" customHeight="1">
      <c r="B21" s="27"/>
      <c r="C21" s="27"/>
      <c r="D21" s="27"/>
      <c r="E21" s="27"/>
      <c r="F21" s="27"/>
      <c r="G21" s="27"/>
      <c r="H21" s="27"/>
    </row>
    <row r="22" spans="2:8" ht="17.100000000000001" customHeight="1">
      <c r="B22" s="27"/>
      <c r="C22" s="27"/>
      <c r="D22" s="27"/>
      <c r="E22" s="27"/>
      <c r="F22" s="27"/>
      <c r="G22" s="27"/>
      <c r="H22" s="27"/>
    </row>
    <row r="23" spans="2:8" ht="17.100000000000001" customHeight="1">
      <c r="B23" s="27"/>
      <c r="C23" s="27"/>
      <c r="D23" s="27"/>
      <c r="E23" s="27"/>
      <c r="F23" s="27"/>
      <c r="G23" s="27"/>
      <c r="H23" s="27"/>
    </row>
    <row r="24" spans="2:8" ht="17.100000000000001" customHeight="1">
      <c r="B24" s="27"/>
      <c r="C24" s="27"/>
      <c r="D24" s="27"/>
      <c r="E24" s="27"/>
      <c r="F24" s="27"/>
      <c r="G24" s="27"/>
      <c r="H24" s="27"/>
    </row>
    <row r="25" spans="2:8" ht="17.100000000000001" customHeight="1">
      <c r="B25" s="27"/>
      <c r="C25" s="27"/>
      <c r="D25" s="27"/>
      <c r="E25" s="27"/>
      <c r="F25" s="27"/>
      <c r="G25" s="27"/>
      <c r="H25" s="27"/>
    </row>
    <row r="26" spans="2:8" ht="17.100000000000001" customHeight="1">
      <c r="B26" s="27"/>
      <c r="C26" s="27"/>
      <c r="D26" s="27"/>
      <c r="E26" s="27"/>
      <c r="F26" s="27"/>
      <c r="G26" s="27"/>
      <c r="H26" s="27"/>
    </row>
    <row r="27" spans="2:8" ht="17.100000000000001" customHeight="1">
      <c r="B27" s="27"/>
      <c r="C27" s="27"/>
      <c r="D27" s="27"/>
      <c r="E27" s="27"/>
      <c r="F27" s="27"/>
      <c r="G27" s="27"/>
      <c r="H27" s="27"/>
    </row>
    <row r="28" spans="2:8" ht="17.100000000000001" customHeight="1">
      <c r="B28" s="27"/>
      <c r="C28" s="27"/>
      <c r="D28" s="27"/>
      <c r="E28" s="27"/>
      <c r="F28" s="27"/>
      <c r="G28" s="27"/>
      <c r="H28" s="27"/>
    </row>
    <row r="29" spans="2:8" ht="17.100000000000001" customHeight="1">
      <c r="B29" s="27"/>
      <c r="C29" s="27"/>
      <c r="D29" s="27"/>
      <c r="E29" s="27"/>
      <c r="F29" s="27"/>
      <c r="G29" s="27"/>
      <c r="H29" s="27"/>
    </row>
  </sheetData>
  <sheetProtection sheet="1" objects="1" scenarios="1"/>
  <mergeCells count="8">
    <mergeCell ref="B10:J10"/>
    <mergeCell ref="B9:J9"/>
    <mergeCell ref="B8:J8"/>
    <mergeCell ref="B2:J2"/>
    <mergeCell ref="B4:J4"/>
    <mergeCell ref="B5:J5"/>
    <mergeCell ref="B6:J6"/>
    <mergeCell ref="B7:J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39997558519241921"/>
  </sheetPr>
  <dimension ref="B1:O35"/>
  <sheetViews>
    <sheetView zoomScale="110" zoomScaleNormal="110" workbookViewId="0">
      <selection activeCell="D6" sqref="D6"/>
    </sheetView>
  </sheetViews>
  <sheetFormatPr defaultColWidth="9.140625" defaultRowHeight="15" customHeight="1"/>
  <cols>
    <col min="1" max="2" width="4.42578125" style="3" customWidth="1"/>
    <col min="3" max="3" width="36" style="3" bestFit="1" customWidth="1"/>
    <col min="4" max="4" width="16.42578125" style="3" customWidth="1"/>
    <col min="5" max="5" width="4.42578125" style="3" customWidth="1"/>
    <col min="6" max="6" width="7.85546875" style="3" customWidth="1"/>
    <col min="7" max="7" width="4.42578125" style="3" customWidth="1"/>
    <col min="8" max="8" width="33.42578125" style="3" customWidth="1"/>
    <col min="9" max="9" width="16.42578125" style="3" customWidth="1"/>
    <col min="10" max="11" width="4.42578125" style="3" customWidth="1"/>
    <col min="12" max="16384" width="9.140625" style="3"/>
  </cols>
  <sheetData>
    <row r="1" spans="2:15" ht="19.149999999999999" customHeight="1"/>
    <row r="2" spans="2:15" ht="15" customHeight="1" thickBot="1"/>
    <row r="3" spans="2:15" ht="15" customHeight="1" thickBot="1">
      <c r="B3" s="237"/>
      <c r="C3" s="238"/>
      <c r="D3" s="238"/>
      <c r="E3" s="239"/>
      <c r="G3" s="237"/>
      <c r="H3" s="238"/>
      <c r="I3" s="238"/>
      <c r="J3" s="239"/>
    </row>
    <row r="4" spans="2:15" ht="15" customHeight="1" thickBot="1">
      <c r="B4" s="240"/>
      <c r="C4" s="654" t="s">
        <v>47</v>
      </c>
      <c r="D4" s="655"/>
      <c r="E4" s="243"/>
      <c r="G4" s="240"/>
      <c r="H4" s="654" t="s">
        <v>48</v>
      </c>
      <c r="I4" s="655"/>
      <c r="J4" s="243"/>
    </row>
    <row r="5" spans="2:15" ht="15" customHeight="1" thickBot="1">
      <c r="B5" s="240"/>
      <c r="C5" s="241"/>
      <c r="D5" s="241"/>
      <c r="E5" s="242"/>
      <c r="G5" s="240"/>
      <c r="H5" s="241"/>
      <c r="I5" s="241"/>
      <c r="J5" s="242"/>
    </row>
    <row r="6" spans="2:15" ht="15" customHeight="1" thickBot="1">
      <c r="B6" s="240"/>
      <c r="C6" s="218" t="s">
        <v>2</v>
      </c>
      <c r="D6" s="219"/>
      <c r="E6" s="242"/>
      <c r="G6" s="240"/>
      <c r="H6" s="218" t="s">
        <v>2</v>
      </c>
      <c r="I6" s="219"/>
      <c r="J6" s="242"/>
    </row>
    <row r="7" spans="2:15" ht="15" customHeight="1" thickBot="1">
      <c r="B7" s="240"/>
      <c r="C7" s="218" t="s">
        <v>18</v>
      </c>
      <c r="D7" s="220"/>
      <c r="E7" s="242"/>
      <c r="G7" s="240"/>
      <c r="H7" s="218" t="s">
        <v>49</v>
      </c>
      <c r="I7" s="219"/>
      <c r="J7" s="242"/>
      <c r="L7" s="686" t="s">
        <v>50</v>
      </c>
      <c r="M7" s="687"/>
      <c r="N7" s="688"/>
      <c r="O7" s="367"/>
    </row>
    <row r="8" spans="2:15" ht="15" customHeight="1" thickBot="1">
      <c r="B8" s="240"/>
      <c r="C8" s="218" t="s">
        <v>6</v>
      </c>
      <c r="D8" s="219"/>
      <c r="E8" s="242"/>
      <c r="G8" s="240"/>
      <c r="H8" s="218" t="s">
        <v>51</v>
      </c>
      <c r="I8" s="219"/>
      <c r="J8" s="242"/>
      <c r="L8" s="689"/>
      <c r="M8" s="690"/>
      <c r="N8" s="691"/>
      <c r="O8" s="367"/>
    </row>
    <row r="9" spans="2:15" ht="15" customHeight="1" thickBot="1">
      <c r="B9" s="240"/>
      <c r="C9" s="250"/>
      <c r="D9" s="255"/>
      <c r="E9" s="242"/>
      <c r="G9" s="240"/>
      <c r="H9" s="250"/>
      <c r="I9" s="255"/>
      <c r="J9" s="242"/>
      <c r="L9" s="692"/>
      <c r="M9" s="693"/>
      <c r="N9" s="694"/>
      <c r="O9" s="367"/>
    </row>
    <row r="10" spans="2:15" ht="15" customHeight="1" thickBot="1">
      <c r="B10" s="240"/>
      <c r="C10" s="223" t="s">
        <v>9</v>
      </c>
      <c r="D10" s="224">
        <v>150</v>
      </c>
      <c r="E10" s="242"/>
      <c r="G10" s="240"/>
      <c r="H10" s="223" t="s">
        <v>9</v>
      </c>
      <c r="I10" s="224">
        <v>150</v>
      </c>
      <c r="J10" s="242"/>
    </row>
    <row r="11" spans="2:15" ht="15" customHeight="1" thickBot="1">
      <c r="B11" s="240"/>
      <c r="C11" s="218" t="s">
        <v>10</v>
      </c>
      <c r="D11" s="225">
        <f>D6*D10</f>
        <v>0</v>
      </c>
      <c r="E11" s="242"/>
      <c r="G11" s="240"/>
      <c r="H11" s="218" t="s">
        <v>10</v>
      </c>
      <c r="I11" s="225">
        <f>I6*I10</f>
        <v>0</v>
      </c>
      <c r="J11" s="242"/>
    </row>
    <row r="12" spans="2:15" ht="15" customHeight="1" thickBot="1">
      <c r="B12" s="240"/>
      <c r="C12" s="221" t="s">
        <v>11</v>
      </c>
      <c r="D12" s="226">
        <f>(D7*0.4975)*D8</f>
        <v>0</v>
      </c>
      <c r="E12" s="244"/>
      <c r="G12" s="240"/>
      <c r="H12" s="221" t="s">
        <v>11</v>
      </c>
      <c r="I12" s="226">
        <f>(I7*0.4975)*I8</f>
        <v>0</v>
      </c>
      <c r="J12" s="244"/>
    </row>
    <row r="13" spans="2:15" ht="15" customHeight="1" thickBot="1">
      <c r="B13" s="240"/>
      <c r="C13" s="227" t="s">
        <v>12</v>
      </c>
      <c r="D13" s="225" t="e">
        <f>D12/D6</f>
        <v>#DIV/0!</v>
      </c>
      <c r="E13" s="235"/>
      <c r="G13" s="240"/>
      <c r="H13" s="227" t="s">
        <v>12</v>
      </c>
      <c r="I13" s="275" t="e">
        <f>I12/I6</f>
        <v>#DIV/0!</v>
      </c>
      <c r="J13" s="235"/>
    </row>
    <row r="14" spans="2:15" ht="15" customHeight="1" thickBot="1">
      <c r="B14" s="240"/>
      <c r="C14" s="228" t="s">
        <v>13</v>
      </c>
      <c r="D14" s="252" t="e">
        <f>D11/(D7*0.4975)</f>
        <v>#DIV/0!</v>
      </c>
      <c r="E14" s="245"/>
      <c r="F14" s="4"/>
      <c r="G14" s="240"/>
      <c r="H14" s="228" t="s">
        <v>14</v>
      </c>
      <c r="I14" s="229" t="e">
        <f>I11/(I7*0.4975)</f>
        <v>#DIV/0!</v>
      </c>
      <c r="J14" s="245"/>
    </row>
    <row r="15" spans="2:15" ht="15" customHeight="1" thickBot="1">
      <c r="B15" s="246"/>
      <c r="C15" s="247"/>
      <c r="D15" s="247"/>
      <c r="E15" s="248"/>
      <c r="G15" s="246"/>
      <c r="H15" s="247"/>
      <c r="I15" s="247"/>
      <c r="J15" s="248"/>
    </row>
    <row r="16" spans="2:15" ht="15" customHeight="1" thickBot="1"/>
    <row r="17" spans="2:6" ht="15" customHeight="1">
      <c r="B17" s="674" t="s">
        <v>44</v>
      </c>
      <c r="C17" s="675"/>
      <c r="D17" s="675"/>
      <c r="E17" s="676"/>
    </row>
    <row r="18" spans="2:6" ht="14.45">
      <c r="B18" s="671" t="s">
        <v>45</v>
      </c>
      <c r="C18" s="672"/>
      <c r="D18" s="672"/>
      <c r="E18" s="673"/>
    </row>
    <row r="19" spans="2:6" ht="15" customHeight="1" thickBot="1">
      <c r="B19" s="677" t="s">
        <v>46</v>
      </c>
      <c r="C19" s="678"/>
      <c r="D19" s="678"/>
      <c r="E19" s="679"/>
    </row>
    <row r="30" spans="2:6" ht="15" customHeight="1">
      <c r="F30" s="4"/>
    </row>
    <row r="33" spans="2:5" customFormat="1" ht="14.45">
      <c r="B33" s="3"/>
      <c r="C33" s="3"/>
      <c r="D33" s="3"/>
      <c r="E33" s="3"/>
    </row>
    <row r="34" spans="2:5" customFormat="1" ht="13.7" customHeight="1">
      <c r="B34" s="3"/>
      <c r="C34" s="3"/>
      <c r="D34" s="3"/>
      <c r="E34" s="3"/>
    </row>
    <row r="35" spans="2:5" customFormat="1" ht="14.45">
      <c r="B35" s="3"/>
      <c r="C35" s="3"/>
      <c r="D35" s="3"/>
      <c r="E35" s="3"/>
    </row>
  </sheetData>
  <sheetProtection algorithmName="SHA-512" hashValue="+zjjwOxxc6sIrcGP7l2eJivLlBmjQIGp3gFzMATM7Q/DLk0aDnlNdPeewTUbxtfUHxxJP9JnhI7WER/4RwCk4g==" saltValue="3YxsplLzuryOtq+AuCJSRg==" spinCount="100000" sheet="1" objects="1" scenarios="1" selectLockedCells="1"/>
  <mergeCells count="6">
    <mergeCell ref="L7:N9"/>
    <mergeCell ref="B19:E19"/>
    <mergeCell ref="C4:D4"/>
    <mergeCell ref="H4:I4"/>
    <mergeCell ref="B17:E17"/>
    <mergeCell ref="B18:E18"/>
  </mergeCells>
  <conditionalFormatting sqref="D13">
    <cfRule type="cellIs" dxfId="29" priority="2" operator="greaterThanOrEqual">
      <formula>150</formula>
    </cfRule>
  </conditionalFormatting>
  <conditionalFormatting sqref="I13">
    <cfRule type="cellIs" dxfId="28" priority="1" operator="greaterThanOrEqual">
      <formula>150</formula>
    </cfRule>
  </conditionalFormatting>
  <hyperlinks>
    <hyperlink ref="B18" r:id="rId1" xr:uid="{00000000-0004-0000-0400-000000000000}"/>
  </hyperlinks>
  <pageMargins left="0.7" right="0.7" top="0.75" bottom="0.75" header="0.3" footer="0.3"/>
  <pageSetup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39997558519241921"/>
  </sheetPr>
  <dimension ref="B2:L16"/>
  <sheetViews>
    <sheetView zoomScale="115" zoomScaleNormal="115" workbookViewId="0">
      <selection activeCell="D6" sqref="D6"/>
    </sheetView>
  </sheetViews>
  <sheetFormatPr defaultColWidth="9" defaultRowHeight="14.25" customHeight="1"/>
  <cols>
    <col min="1" max="2" width="4.42578125" style="3" customWidth="1"/>
    <col min="3" max="3" width="33.42578125" style="3" bestFit="1" customWidth="1"/>
    <col min="4" max="4" width="12.42578125" style="3" bestFit="1" customWidth="1"/>
    <col min="5" max="5" width="4.42578125" style="3" customWidth="1"/>
    <col min="6" max="16384" width="9" style="3"/>
  </cols>
  <sheetData>
    <row r="2" spans="2:12" ht="15" customHeight="1" thickBot="1"/>
    <row r="3" spans="2:12" ht="15" customHeight="1" thickBot="1">
      <c r="B3" s="237"/>
      <c r="C3" s="238"/>
      <c r="D3" s="238"/>
      <c r="E3" s="239"/>
    </row>
    <row r="4" spans="2:12" ht="15" customHeight="1" thickBot="1">
      <c r="B4" s="240"/>
      <c r="C4" s="695" t="s">
        <v>52</v>
      </c>
      <c r="D4" s="696"/>
      <c r="E4" s="242"/>
    </row>
    <row r="5" spans="2:12" ht="15" customHeight="1" thickBot="1">
      <c r="B5" s="240"/>
      <c r="C5" s="277"/>
      <c r="D5" s="241"/>
      <c r="E5" s="242"/>
    </row>
    <row r="6" spans="2:12" ht="15" customHeight="1" thickBot="1">
      <c r="B6" s="240"/>
      <c r="C6" s="218" t="s">
        <v>2</v>
      </c>
      <c r="D6" s="278"/>
      <c r="E6" s="242"/>
    </row>
    <row r="7" spans="2:12" ht="15" customHeight="1" thickBot="1">
      <c r="B7" s="240"/>
      <c r="C7" s="279" t="s">
        <v>53</v>
      </c>
      <c r="D7" s="280"/>
      <c r="E7" s="242"/>
      <c r="G7" s="164"/>
      <c r="H7" s="164"/>
      <c r="I7" s="164"/>
      <c r="J7" s="164"/>
      <c r="K7" s="164"/>
    </row>
    <row r="8" spans="2:12" ht="15" customHeight="1" thickBot="1">
      <c r="B8" s="240"/>
      <c r="C8" s="279" t="s">
        <v>54</v>
      </c>
      <c r="D8" s="281"/>
      <c r="E8" s="242"/>
      <c r="G8" s="700" t="s">
        <v>55</v>
      </c>
      <c r="H8" s="701"/>
      <c r="I8" s="701"/>
      <c r="J8" s="701"/>
      <c r="K8" s="702"/>
      <c r="L8" s="165"/>
    </row>
    <row r="9" spans="2:12" ht="15" customHeight="1" thickBot="1">
      <c r="B9" s="240"/>
      <c r="C9" s="282"/>
      <c r="D9" s="283"/>
      <c r="E9" s="242"/>
      <c r="G9" s="703"/>
      <c r="H9" s="704"/>
      <c r="I9" s="704"/>
      <c r="J9" s="704"/>
      <c r="K9" s="705"/>
      <c r="L9" s="165"/>
    </row>
    <row r="10" spans="2:12" ht="15" customHeight="1" thickBot="1">
      <c r="B10" s="240"/>
      <c r="C10" s="223" t="s">
        <v>9</v>
      </c>
      <c r="D10" s="284">
        <v>20</v>
      </c>
      <c r="E10" s="242"/>
      <c r="G10" s="706"/>
      <c r="H10" s="707"/>
      <c r="I10" s="707"/>
      <c r="J10" s="707"/>
      <c r="K10" s="708"/>
      <c r="L10" s="165"/>
    </row>
    <row r="11" spans="2:12" ht="15" customHeight="1" thickBot="1">
      <c r="B11" s="240"/>
      <c r="C11" s="218" t="s">
        <v>10</v>
      </c>
      <c r="D11" s="285">
        <f>D10*D6</f>
        <v>0</v>
      </c>
      <c r="E11" s="242"/>
    </row>
    <row r="12" spans="2:12" ht="15" thickBot="1">
      <c r="B12" s="240"/>
      <c r="C12" s="286" t="s">
        <v>56</v>
      </c>
      <c r="D12" s="285">
        <f>D7/100*1000</f>
        <v>0</v>
      </c>
      <c r="E12" s="242"/>
      <c r="G12" s="697" t="s">
        <v>57</v>
      </c>
      <c r="H12" s="698"/>
      <c r="I12" s="698"/>
      <c r="J12" s="698"/>
      <c r="K12" s="699"/>
    </row>
    <row r="13" spans="2:12" ht="15" customHeight="1" thickBot="1">
      <c r="B13" s="240"/>
      <c r="C13" s="287" t="s">
        <v>58</v>
      </c>
      <c r="D13" s="288">
        <f>D12*D8</f>
        <v>0</v>
      </c>
      <c r="E13" s="242"/>
    </row>
    <row r="14" spans="2:12" ht="14.25" customHeight="1" thickBot="1">
      <c r="B14" s="240"/>
      <c r="C14" s="289" t="s">
        <v>59</v>
      </c>
      <c r="D14" s="290" t="e">
        <f>D13/D6</f>
        <v>#DIV/0!</v>
      </c>
      <c r="E14" s="242"/>
    </row>
    <row r="15" spans="2:12" ht="14.25" customHeight="1" thickBot="1">
      <c r="B15" s="240"/>
      <c r="C15" s="291" t="s">
        <v>60</v>
      </c>
      <c r="D15" s="292" t="e">
        <f>D11/D12</f>
        <v>#DIV/0!</v>
      </c>
      <c r="E15" s="242"/>
    </row>
    <row r="16" spans="2:12" ht="14.25" customHeight="1" thickBot="1">
      <c r="B16" s="246"/>
      <c r="C16" s="276"/>
      <c r="D16" s="276"/>
      <c r="E16" s="248"/>
    </row>
  </sheetData>
  <sheetProtection algorithmName="SHA-512" hashValue="jsliDyt/mYIHTeL9RHzpyywY7M/JelXJ84Fg1PXIlGedGdoo5iYg5dyNs1nfjcMjUWd6mVU7gs1g1uQZjbAi7w==" saltValue="Wko5jaZXa5hDjUKlwb5JFA==" spinCount="100000" sheet="1" selectLockedCells="1"/>
  <mergeCells count="3">
    <mergeCell ref="C4:D4"/>
    <mergeCell ref="G12:K12"/>
    <mergeCell ref="G8:K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4">
    <tabColor theme="9" tint="0.39997558519241921"/>
  </sheetPr>
  <dimension ref="B1:U38"/>
  <sheetViews>
    <sheetView zoomScale="110" zoomScaleNormal="110" workbookViewId="0">
      <selection activeCell="D6" sqref="D6"/>
    </sheetView>
  </sheetViews>
  <sheetFormatPr defaultColWidth="9" defaultRowHeight="14.25" customHeight="1"/>
  <cols>
    <col min="1" max="2" width="4.42578125" style="2" customWidth="1"/>
    <col min="3" max="3" width="35.42578125" style="2" bestFit="1" customWidth="1"/>
    <col min="4" max="4" width="13.42578125" style="2" customWidth="1"/>
    <col min="5" max="5" width="4.42578125" style="2" customWidth="1"/>
    <col min="6" max="6" width="4.5703125" style="2" customWidth="1"/>
    <col min="7" max="7" width="8.85546875" style="2" customWidth="1"/>
    <col min="8" max="10" width="9" style="2"/>
    <col min="11" max="11" width="9" style="2" customWidth="1"/>
    <col min="12" max="12" width="4.42578125" style="2" customWidth="1"/>
    <col min="13" max="13" width="35.42578125" style="2" customWidth="1"/>
    <col min="14" max="14" width="13.42578125" style="2" customWidth="1"/>
    <col min="15" max="16" width="4.42578125" style="2" customWidth="1"/>
    <col min="17" max="16384" width="9" style="2"/>
  </cols>
  <sheetData>
    <row r="1" spans="2:21" ht="19.149999999999999" customHeight="1"/>
    <row r="2" spans="2:21" ht="15" customHeight="1" thickBot="1"/>
    <row r="3" spans="2:21" ht="15" customHeight="1" thickBot="1">
      <c r="B3" s="210"/>
      <c r="C3" s="211"/>
      <c r="D3" s="211"/>
      <c r="E3" s="212"/>
      <c r="L3" s="210"/>
      <c r="M3" s="211"/>
      <c r="N3" s="211"/>
      <c r="O3" s="212"/>
    </row>
    <row r="4" spans="2:21" s="3" customFormat="1" ht="15" customHeight="1" thickBot="1">
      <c r="B4" s="240"/>
      <c r="C4" s="711" t="s">
        <v>61</v>
      </c>
      <c r="D4" s="712"/>
      <c r="E4" s="242"/>
      <c r="L4" s="240"/>
      <c r="M4" s="711" t="s">
        <v>62</v>
      </c>
      <c r="N4" s="712"/>
      <c r="O4" s="214"/>
    </row>
    <row r="5" spans="2:21" s="3" customFormat="1" ht="15" customHeight="1" thickBot="1">
      <c r="B5" s="240"/>
      <c r="C5" s="241"/>
      <c r="D5" s="241"/>
      <c r="E5" s="242"/>
      <c r="L5" s="213"/>
      <c r="M5" s="9"/>
      <c r="N5" s="9"/>
      <c r="O5" s="214"/>
    </row>
    <row r="6" spans="2:21" s="3" customFormat="1" ht="15" customHeight="1" thickBot="1">
      <c r="B6" s="240"/>
      <c r="C6" s="218" t="s">
        <v>2</v>
      </c>
      <c r="D6" s="294"/>
      <c r="E6" s="242"/>
      <c r="L6" s="213"/>
      <c r="M6" s="304" t="s">
        <v>2</v>
      </c>
      <c r="N6" s="306"/>
      <c r="O6" s="214"/>
    </row>
    <row r="7" spans="2:21" s="3" customFormat="1" ht="15" customHeight="1" thickBot="1">
      <c r="B7" s="240"/>
      <c r="C7" s="295" t="s">
        <v>63</v>
      </c>
      <c r="D7" s="294"/>
      <c r="E7" s="242"/>
      <c r="G7" s="716" t="s">
        <v>64</v>
      </c>
      <c r="H7" s="717"/>
      <c r="I7" s="718"/>
      <c r="J7" s="78"/>
      <c r="L7" s="213"/>
      <c r="M7" s="307" t="s">
        <v>53</v>
      </c>
      <c r="N7" s="280"/>
      <c r="O7" s="214"/>
    </row>
    <row r="8" spans="2:21" s="3" customFormat="1" ht="15" customHeight="1" thickBot="1">
      <c r="B8" s="240"/>
      <c r="C8" s="295" t="s">
        <v>65</v>
      </c>
      <c r="D8" s="294"/>
      <c r="E8" s="242"/>
      <c r="H8" s="75"/>
      <c r="L8" s="213"/>
      <c r="M8" s="307" t="s">
        <v>54</v>
      </c>
      <c r="N8" s="280"/>
      <c r="O8" s="214"/>
    </row>
    <row r="9" spans="2:21" s="3" customFormat="1" ht="15" customHeight="1" thickBot="1">
      <c r="B9" s="240"/>
      <c r="C9" s="301"/>
      <c r="D9" s="302"/>
      <c r="E9" s="242"/>
      <c r="L9" s="213"/>
      <c r="M9" s="308"/>
      <c r="N9" s="301"/>
      <c r="O9" s="214"/>
    </row>
    <row r="10" spans="2:21" s="3" customFormat="1" ht="15" customHeight="1" thickBot="1">
      <c r="B10" s="240"/>
      <c r="C10" s="296" t="s">
        <v>9</v>
      </c>
      <c r="D10" s="297">
        <v>75</v>
      </c>
      <c r="E10" s="242"/>
      <c r="G10" s="724" t="s">
        <v>66</v>
      </c>
      <c r="H10" s="725"/>
      <c r="I10" s="725"/>
      <c r="J10" s="726"/>
      <c r="L10" s="213"/>
      <c r="M10" s="309" t="s">
        <v>9</v>
      </c>
      <c r="N10" s="310">
        <v>75</v>
      </c>
      <c r="O10" s="214"/>
    </row>
    <row r="11" spans="2:21" s="3" customFormat="1" ht="15" customHeight="1" thickBot="1">
      <c r="B11" s="240"/>
      <c r="C11" s="218" t="s">
        <v>10</v>
      </c>
      <c r="D11" s="298">
        <f>D10*D6</f>
        <v>0</v>
      </c>
      <c r="E11" s="242"/>
      <c r="G11" s="727"/>
      <c r="H11" s="728"/>
      <c r="I11" s="728"/>
      <c r="J11" s="729"/>
      <c r="L11" s="213"/>
      <c r="M11" s="304" t="s">
        <v>10</v>
      </c>
      <c r="N11" s="311">
        <f>N10*N6</f>
        <v>0</v>
      </c>
      <c r="O11" s="214"/>
      <c r="Q11" s="78"/>
      <c r="R11" s="78"/>
      <c r="S11" s="78"/>
      <c r="T11" s="78"/>
    </row>
    <row r="12" spans="2:21" s="3" customFormat="1" ht="15" customHeight="1" thickBot="1">
      <c r="B12" s="240"/>
      <c r="C12" s="218" t="s">
        <v>67</v>
      </c>
      <c r="D12" s="298">
        <f>D7/5*1000</f>
        <v>0</v>
      </c>
      <c r="E12" s="242"/>
      <c r="L12" s="213"/>
      <c r="M12" s="312" t="s">
        <v>56</v>
      </c>
      <c r="N12" s="313">
        <f>N7/100*1000</f>
        <v>0</v>
      </c>
      <c r="O12" s="214"/>
      <c r="Q12" s="719" t="s">
        <v>68</v>
      </c>
      <c r="R12" s="720"/>
      <c r="S12" s="720"/>
      <c r="T12" s="720"/>
      <c r="U12" s="721"/>
    </row>
    <row r="13" spans="2:21" s="3" customFormat="1" ht="15" customHeight="1" thickBot="1">
      <c r="B13" s="240"/>
      <c r="C13" s="221" t="s">
        <v>11</v>
      </c>
      <c r="D13" s="299">
        <f>D12*D8</f>
        <v>0</v>
      </c>
      <c r="E13" s="242"/>
      <c r="L13" s="213"/>
      <c r="M13" s="314" t="s">
        <v>69</v>
      </c>
      <c r="N13" s="315">
        <f>N12*N8</f>
        <v>0</v>
      </c>
      <c r="O13" s="214"/>
    </row>
    <row r="14" spans="2:21" s="3" customFormat="1" ht="15" customHeight="1" thickBot="1">
      <c r="B14" s="240"/>
      <c r="C14" s="227" t="s">
        <v>12</v>
      </c>
      <c r="D14" s="298" t="e">
        <f>D13/D6</f>
        <v>#DIV/0!</v>
      </c>
      <c r="E14" s="242"/>
      <c r="L14" s="213"/>
      <c r="M14" s="316" t="s">
        <v>59</v>
      </c>
      <c r="N14" s="317" t="e">
        <f>N13/N6</f>
        <v>#DIV/0!</v>
      </c>
      <c r="O14" s="214"/>
    </row>
    <row r="15" spans="2:21" s="3" customFormat="1" ht="15" customHeight="1" thickBot="1">
      <c r="B15" s="240"/>
      <c r="C15" s="228" t="s">
        <v>14</v>
      </c>
      <c r="D15" s="300" t="e">
        <f>D11/D12</f>
        <v>#DIV/0!</v>
      </c>
      <c r="E15" s="242"/>
      <c r="L15" s="213"/>
      <c r="M15" s="291" t="s">
        <v>60</v>
      </c>
      <c r="N15" s="318" t="e">
        <f>N11/N12</f>
        <v>#DIV/0!</v>
      </c>
      <c r="O15" s="214"/>
    </row>
    <row r="16" spans="2:21" s="3" customFormat="1" ht="19.149999999999999" customHeight="1" thickBot="1">
      <c r="B16" s="293"/>
      <c r="C16" s="247"/>
      <c r="D16" s="247"/>
      <c r="E16" s="248"/>
      <c r="L16" s="215"/>
      <c r="M16" s="216"/>
      <c r="N16" s="216"/>
      <c r="O16" s="217"/>
    </row>
    <row r="17" spans="2:8" ht="14.25" customHeight="1" thickBot="1">
      <c r="C17" s="9"/>
      <c r="D17" s="57"/>
      <c r="E17" s="9"/>
    </row>
    <row r="18" spans="2:8" ht="29.85" customHeight="1" thickBot="1">
      <c r="B18" s="713" t="s">
        <v>70</v>
      </c>
      <c r="C18" s="714"/>
      <c r="D18" s="714"/>
      <c r="E18" s="714"/>
      <c r="F18" s="715"/>
    </row>
    <row r="19" spans="2:8" ht="29.45" thickBot="1">
      <c r="B19" s="709"/>
      <c r="C19" s="709"/>
      <c r="D19" s="303" t="s">
        <v>71</v>
      </c>
      <c r="E19" s="723" t="s">
        <v>72</v>
      </c>
      <c r="F19" s="723"/>
    </row>
    <row r="20" spans="2:8" ht="14.25" customHeight="1" thickBot="1">
      <c r="B20" s="1121" t="s">
        <v>73</v>
      </c>
      <c r="C20" s="1121"/>
      <c r="D20" s="305">
        <v>0.78600000000000003</v>
      </c>
      <c r="E20" s="722" t="s">
        <v>74</v>
      </c>
      <c r="F20" s="722"/>
    </row>
    <row r="21" spans="2:8" ht="14.25" customHeight="1" thickBot="1">
      <c r="B21" s="710" t="s">
        <v>75</v>
      </c>
      <c r="C21" s="710"/>
      <c r="D21" s="305">
        <v>0.59299999999999997</v>
      </c>
      <c r="E21" s="722" t="s">
        <v>76</v>
      </c>
      <c r="F21" s="722"/>
    </row>
    <row r="22" spans="2:8" ht="14.25" customHeight="1" thickBot="1">
      <c r="B22" s="1121" t="s">
        <v>77</v>
      </c>
      <c r="C22" s="1121"/>
      <c r="D22" s="305">
        <v>0.88200000000000001</v>
      </c>
      <c r="E22" s="722" t="s">
        <v>78</v>
      </c>
      <c r="F22" s="722"/>
    </row>
    <row r="23" spans="2:8" ht="14.25" customHeight="1">
      <c r="B23" s="9"/>
      <c r="C23" s="9"/>
      <c r="D23" s="9"/>
      <c r="E23" s="9"/>
    </row>
    <row r="24" spans="2:8" ht="19.149999999999999" customHeight="1">
      <c r="G24" s="50"/>
      <c r="H24" s="72"/>
    </row>
    <row r="25" spans="2:8" ht="15" customHeight="1">
      <c r="G25" s="53"/>
      <c r="H25" s="72"/>
    </row>
    <row r="26" spans="2:8" ht="15" customHeight="1">
      <c r="G26" s="53"/>
      <c r="H26" s="72"/>
    </row>
    <row r="27" spans="2:8" ht="15" customHeight="1">
      <c r="G27" s="50"/>
      <c r="H27" s="73"/>
    </row>
    <row r="28" spans="2:8" ht="15" customHeight="1">
      <c r="G28" s="50"/>
      <c r="H28" s="74"/>
    </row>
    <row r="29" spans="2:8" ht="15" customHeight="1">
      <c r="G29" s="75"/>
      <c r="H29" s="74"/>
    </row>
    <row r="30" spans="2:8" ht="15" customHeight="1">
      <c r="G30" s="75"/>
      <c r="H30" s="74"/>
    </row>
    <row r="31" spans="2:8" ht="15" customHeight="1">
      <c r="G31" s="75"/>
      <c r="H31" s="74"/>
    </row>
    <row r="32" spans="2:8" ht="15" customHeight="1">
      <c r="G32" s="76"/>
      <c r="H32" s="77"/>
    </row>
    <row r="33" spans="7:8" ht="15" customHeight="1">
      <c r="G33" s="78"/>
      <c r="H33" s="79"/>
    </row>
    <row r="34" spans="7:8" ht="15" customHeight="1"/>
    <row r="35" spans="7:8" ht="15" customHeight="1"/>
    <row r="36" spans="7:8" ht="15" customHeight="1"/>
    <row r="37" spans="7:8" ht="15" customHeight="1"/>
    <row r="38" spans="7:8" ht="15" customHeight="1"/>
  </sheetData>
  <sheetProtection algorithmName="SHA-512" hashValue="YUy2faKjrAPigq2hM4/SY9IzboCIZy5VBcAcZOuNSkD1ApIVgmgfXTVMi6yPhvOv/Npl+eyHvuUw6+m2NUut4A==" saltValue="qDeJuzb51rV84lvhuJ0TSw==" spinCount="100000" sheet="1" selectLockedCells="1"/>
  <mergeCells count="14">
    <mergeCell ref="G7:I7"/>
    <mergeCell ref="Q12:U12"/>
    <mergeCell ref="M4:N4"/>
    <mergeCell ref="E21:F21"/>
    <mergeCell ref="E22:F22"/>
    <mergeCell ref="E19:F19"/>
    <mergeCell ref="E20:F20"/>
    <mergeCell ref="G10:J11"/>
    <mergeCell ref="B19:C19"/>
    <mergeCell ref="B20:C20"/>
    <mergeCell ref="B21:C21"/>
    <mergeCell ref="B22:C22"/>
    <mergeCell ref="C4:D4"/>
    <mergeCell ref="B18:F18"/>
  </mergeCells>
  <phoneticPr fontId="39" type="noConversion"/>
  <conditionalFormatting sqref="D14">
    <cfRule type="cellIs" dxfId="27" priority="1" operator="greaterThanOrEqual">
      <formula>75</formula>
    </cfRule>
  </conditionalFormatting>
  <pageMargins left="0.7" right="0.7" top="0.75" bottom="0.75" header="0.3" footer="0.3"/>
  <pageSetup orientation="portrait" r:id="rId1"/>
  <ignoredErrors>
    <ignoredError sqref="D1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theme="9" tint="0.39997558519241921"/>
  </sheetPr>
  <dimension ref="B2:K16"/>
  <sheetViews>
    <sheetView zoomScale="115" zoomScaleNormal="115" workbookViewId="0">
      <selection activeCell="D6" sqref="D6"/>
    </sheetView>
  </sheetViews>
  <sheetFormatPr defaultColWidth="9" defaultRowHeight="14.25" customHeight="1"/>
  <cols>
    <col min="1" max="2" width="4.42578125" style="3" customWidth="1"/>
    <col min="3" max="3" width="33.42578125" style="3" bestFit="1" customWidth="1"/>
    <col min="4" max="4" width="12.42578125" style="3" bestFit="1" customWidth="1"/>
    <col min="5" max="6" width="4.42578125" style="3" customWidth="1"/>
    <col min="7" max="16384" width="9" style="3"/>
  </cols>
  <sheetData>
    <row r="2" spans="2:11" ht="15" customHeight="1" thickBot="1"/>
    <row r="3" spans="2:11" ht="15" customHeight="1" thickBot="1">
      <c r="B3" s="237"/>
      <c r="C3" s="238"/>
      <c r="D3" s="238"/>
      <c r="E3" s="239"/>
    </row>
    <row r="4" spans="2:11" ht="15" customHeight="1" thickBot="1">
      <c r="B4" s="240"/>
      <c r="C4" s="695" t="s">
        <v>79</v>
      </c>
      <c r="D4" s="696"/>
      <c r="E4" s="242"/>
    </row>
    <row r="5" spans="2:11" ht="15" customHeight="1" thickBot="1">
      <c r="B5" s="240"/>
      <c r="C5" s="277"/>
      <c r="D5" s="241"/>
      <c r="E5" s="242"/>
    </row>
    <row r="6" spans="2:11" ht="15" customHeight="1" thickBot="1">
      <c r="B6" s="240"/>
      <c r="C6" s="218" t="s">
        <v>2</v>
      </c>
      <c r="D6" s="278"/>
      <c r="E6" s="242"/>
    </row>
    <row r="7" spans="2:11" ht="15" customHeight="1" thickBot="1">
      <c r="B7" s="240"/>
      <c r="C7" s="279" t="s">
        <v>53</v>
      </c>
      <c r="D7" s="280"/>
      <c r="E7" s="242"/>
    </row>
    <row r="8" spans="2:11" ht="15" customHeight="1" thickBot="1">
      <c r="B8" s="240"/>
      <c r="C8" s="279" t="s">
        <v>54</v>
      </c>
      <c r="D8" s="281"/>
      <c r="E8" s="242"/>
    </row>
    <row r="9" spans="2:11" ht="15" customHeight="1" thickBot="1">
      <c r="B9" s="240"/>
      <c r="C9" s="282"/>
      <c r="D9" s="283"/>
      <c r="E9" s="242"/>
    </row>
    <row r="10" spans="2:11" ht="15" customHeight="1" thickBot="1">
      <c r="B10" s="240"/>
      <c r="C10" s="223" t="s">
        <v>9</v>
      </c>
      <c r="D10" s="284">
        <v>30</v>
      </c>
      <c r="E10" s="242"/>
    </row>
    <row r="11" spans="2:11" ht="15" customHeight="1" thickBot="1">
      <c r="B11" s="240"/>
      <c r="C11" s="218" t="s">
        <v>10</v>
      </c>
      <c r="D11" s="285">
        <f>D10*D6</f>
        <v>0</v>
      </c>
      <c r="E11" s="242"/>
    </row>
    <row r="12" spans="2:11" ht="15" thickBot="1">
      <c r="B12" s="240"/>
      <c r="C12" s="286" t="s">
        <v>56</v>
      </c>
      <c r="D12" s="285">
        <f>D7/100*1000</f>
        <v>0</v>
      </c>
      <c r="E12" s="242"/>
      <c r="G12" s="730" t="s">
        <v>68</v>
      </c>
      <c r="H12" s="731"/>
      <c r="I12" s="731"/>
      <c r="J12" s="731"/>
      <c r="K12" s="732"/>
    </row>
    <row r="13" spans="2:11" ht="15" customHeight="1" thickBot="1">
      <c r="B13" s="240"/>
      <c r="C13" s="287" t="s">
        <v>58</v>
      </c>
      <c r="D13" s="288">
        <f>D12*D8</f>
        <v>0</v>
      </c>
      <c r="E13" s="242"/>
    </row>
    <row r="14" spans="2:11" ht="14.25" customHeight="1" thickBot="1">
      <c r="B14" s="240"/>
      <c r="C14" s="289" t="s">
        <v>59</v>
      </c>
      <c r="D14" s="290" t="e">
        <f>D13/D6</f>
        <v>#DIV/0!</v>
      </c>
      <c r="E14" s="242"/>
    </row>
    <row r="15" spans="2:11" ht="14.25" customHeight="1" thickBot="1">
      <c r="B15" s="240"/>
      <c r="C15" s="291" t="s">
        <v>60</v>
      </c>
      <c r="D15" s="292" t="e">
        <f>D11/D12</f>
        <v>#DIV/0!</v>
      </c>
      <c r="E15" s="242"/>
    </row>
    <row r="16" spans="2:11" ht="14.25" customHeight="1" thickBot="1">
      <c r="B16" s="246"/>
      <c r="C16" s="276"/>
      <c r="D16" s="276"/>
      <c r="E16" s="248"/>
    </row>
  </sheetData>
  <sheetProtection algorithmName="SHA-512" hashValue="wAM58Z1tym1dAfWfKDcKPlThiUh0GqrERz3aa4J4tb2V+WsVOQ8JbN//5Pnmgfrjfb7EEBnR39t8muBm8ap9tA==" saltValue="AnvLG8ihfynEC/dATMwFpQ==" spinCount="100000" sheet="1" selectLockedCells="1"/>
  <mergeCells count="2">
    <mergeCell ref="C4:D4"/>
    <mergeCell ref="G12:K12"/>
  </mergeCells>
  <pageMargins left="0.7" right="0.7" top="0.75" bottom="0.75" header="0.3" footer="0.3"/>
  <pageSetup orientation="portrait" r:id="rId1"/>
  <ignoredErrors>
    <ignoredError sqref="D12"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5">
    <tabColor theme="9" tint="0.39997558519241921"/>
  </sheetPr>
  <dimension ref="B1:K17"/>
  <sheetViews>
    <sheetView zoomScale="115" zoomScaleNormal="115" workbookViewId="0">
      <selection activeCell="D6" sqref="D6"/>
    </sheetView>
  </sheetViews>
  <sheetFormatPr defaultColWidth="9" defaultRowHeight="16.350000000000001" customHeight="1"/>
  <cols>
    <col min="1" max="1" width="4" style="3" customWidth="1"/>
    <col min="2" max="2" width="4.42578125" style="3" customWidth="1"/>
    <col min="3" max="3" width="31.42578125" style="3" bestFit="1" customWidth="1"/>
    <col min="4" max="4" width="12.42578125" style="3" bestFit="1" customWidth="1"/>
    <col min="5" max="5" width="4.42578125" style="3" customWidth="1"/>
    <col min="6" max="6" width="8.42578125" style="3" customWidth="1"/>
    <col min="7" max="11" width="7.7109375" style="3" customWidth="1"/>
    <col min="12" max="16384" width="9" style="3"/>
  </cols>
  <sheetData>
    <row r="1" spans="2:11" ht="14.25" customHeight="1"/>
    <row r="2" spans="2:11" ht="15" customHeight="1" thickBot="1"/>
    <row r="3" spans="2:11" ht="15" customHeight="1" thickBot="1">
      <c r="B3" s="237"/>
      <c r="C3" s="238"/>
      <c r="D3" s="238"/>
      <c r="E3" s="239"/>
    </row>
    <row r="4" spans="2:11" ht="15" customHeight="1" thickBot="1">
      <c r="B4" s="240"/>
      <c r="C4" s="695" t="s">
        <v>80</v>
      </c>
      <c r="D4" s="696"/>
      <c r="E4" s="242"/>
    </row>
    <row r="5" spans="2:11" ht="15" customHeight="1" thickBot="1">
      <c r="B5" s="240"/>
      <c r="C5" s="277"/>
      <c r="D5" s="241"/>
      <c r="E5" s="242"/>
    </row>
    <row r="6" spans="2:11" ht="15" customHeight="1" thickBot="1">
      <c r="B6" s="240"/>
      <c r="C6" s="218" t="s">
        <v>2</v>
      </c>
      <c r="D6" s="278"/>
      <c r="E6" s="242"/>
    </row>
    <row r="7" spans="2:11" ht="15" customHeight="1" thickBot="1">
      <c r="B7" s="240"/>
      <c r="C7" s="279" t="s">
        <v>53</v>
      </c>
      <c r="D7" s="281"/>
      <c r="E7" s="242"/>
    </row>
    <row r="8" spans="2:11" ht="15" customHeight="1" thickBot="1">
      <c r="B8" s="240"/>
      <c r="C8" s="279" t="s">
        <v>54</v>
      </c>
      <c r="D8" s="280"/>
      <c r="E8" s="242"/>
    </row>
    <row r="9" spans="2:11" ht="15" customHeight="1" thickBot="1">
      <c r="B9" s="240"/>
      <c r="C9" s="282"/>
      <c r="D9" s="301"/>
      <c r="E9" s="242"/>
    </row>
    <row r="10" spans="2:11" ht="15" customHeight="1" thickBot="1">
      <c r="B10" s="240"/>
      <c r="C10" s="223" t="s">
        <v>81</v>
      </c>
      <c r="D10" s="284">
        <v>50</v>
      </c>
      <c r="E10" s="242"/>
    </row>
    <row r="11" spans="2:11" ht="15" customHeight="1" thickBot="1">
      <c r="B11" s="240"/>
      <c r="C11" s="218" t="s">
        <v>82</v>
      </c>
      <c r="D11" s="285">
        <f>D10*D6</f>
        <v>0</v>
      </c>
      <c r="E11" s="242"/>
    </row>
    <row r="12" spans="2:11" ht="15" customHeight="1" thickBot="1">
      <c r="B12" s="240"/>
      <c r="C12" s="286" t="s">
        <v>56</v>
      </c>
      <c r="D12" s="285">
        <f>D7/100*1000</f>
        <v>0</v>
      </c>
      <c r="E12" s="242"/>
      <c r="G12" s="733" t="s">
        <v>68</v>
      </c>
      <c r="H12" s="734"/>
      <c r="I12" s="734"/>
      <c r="J12" s="734"/>
      <c r="K12" s="735"/>
    </row>
    <row r="13" spans="2:11" ht="15" customHeight="1" thickBot="1">
      <c r="B13" s="240"/>
      <c r="C13" s="287" t="s">
        <v>69</v>
      </c>
      <c r="D13" s="288">
        <f>D12*D8</f>
        <v>0</v>
      </c>
      <c r="E13" s="242"/>
    </row>
    <row r="14" spans="2:11" ht="15" customHeight="1" thickBot="1">
      <c r="B14" s="240"/>
      <c r="C14" s="289" t="s">
        <v>59</v>
      </c>
      <c r="D14" s="290" t="e">
        <f>D13/D6</f>
        <v>#DIV/0!</v>
      </c>
      <c r="E14" s="242"/>
    </row>
    <row r="15" spans="2:11" ht="15" customHeight="1" thickBot="1">
      <c r="B15" s="240"/>
      <c r="C15" s="291" t="s">
        <v>83</v>
      </c>
      <c r="D15" s="292" t="e">
        <f>D11/D12</f>
        <v>#DIV/0!</v>
      </c>
      <c r="E15" s="242"/>
    </row>
    <row r="16" spans="2:11" ht="14.25" customHeight="1" thickBot="1">
      <c r="B16" s="246"/>
      <c r="C16" s="247"/>
      <c r="D16" s="247"/>
      <c r="E16" s="248"/>
    </row>
    <row r="17" ht="14.25" customHeight="1"/>
  </sheetData>
  <sheetProtection algorithmName="SHA-512" hashValue="GcfbrORTRPjqbRhtE5WS6vKjbtX6m6HCJqYaaCUdrm84RS4M93apXC6ovATs0G8oDdgXJ6ezfuba+O7DMLiJ0Q==" saltValue="TYJQnmWOUjdLp0FRKWMuUw==" spinCount="100000" sheet="1" selectLockedCells="1"/>
  <mergeCells count="2">
    <mergeCell ref="C4:D4"/>
    <mergeCell ref="G12:K12"/>
  </mergeCells>
  <pageMargins left="0.7" right="0.7" top="0.75" bottom="0.75" header="0.3" footer="0.3"/>
  <pageSetup orientation="portrait" r:id="rId1"/>
  <ignoredErrors>
    <ignoredError sqref="D12"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0A29AFB18EF24FB538F4097B192F00" ma:contentTypeVersion="13" ma:contentTypeDescription="Create a new document." ma:contentTypeScope="" ma:versionID="b29715299e69cd2f91cbbe9932a7f15f">
  <xsd:schema xmlns:xsd="http://www.w3.org/2001/XMLSchema" xmlns:xs="http://www.w3.org/2001/XMLSchema" xmlns:p="http://schemas.microsoft.com/office/2006/metadata/properties" xmlns:ns2="a954ba1f-44af-4fe9-a040-d55693854f33" xmlns:ns3="ad133aa5-5040-4ee2-bdb7-093075b037d3" targetNamespace="http://schemas.microsoft.com/office/2006/metadata/properties" ma:root="true" ma:fieldsID="1ae5b2d0c802bec15977f31a005b98d3" ns2:_="" ns3:_="">
    <xsd:import namespace="a954ba1f-44af-4fe9-a040-d55693854f33"/>
    <xsd:import namespace="ad133aa5-5040-4ee2-bdb7-093075b037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4ba1f-44af-4fe9-a040-d55693854f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133aa5-5040-4ee2-bdb7-093075b037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9BABC6-585A-4EEB-9820-2C07E6E4AA52}"/>
</file>

<file path=customXml/itemProps2.xml><?xml version="1.0" encoding="utf-8"?>
<ds:datastoreItem xmlns:ds="http://schemas.openxmlformats.org/officeDocument/2006/customXml" ds:itemID="{8634D559-2390-4C83-B7D0-61AD9F485E36}"/>
</file>

<file path=customXml/itemProps3.xml><?xml version="1.0" encoding="utf-8"?>
<ds:datastoreItem xmlns:ds="http://schemas.openxmlformats.org/officeDocument/2006/customXml" ds:itemID="{59AA00E6-F1D2-4465-BA5A-BDEA3925AB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Vieira</dc:creator>
  <cp:keywords/>
  <dc:description/>
  <cp:lastModifiedBy>Melissa Vieira</cp:lastModifiedBy>
  <cp:revision/>
  <dcterms:created xsi:type="dcterms:W3CDTF">2021-05-03T02:52:11Z</dcterms:created>
  <dcterms:modified xsi:type="dcterms:W3CDTF">2026-03-16T15:50:31Z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0x010100CE0A29AFB18EF24FB538F4097B192F00</vt:lpwstr>
  </property>
</Properties>
</file>